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03_Summary\Obsidian\Blog\A01_\INA228\"/>
    </mc:Choice>
  </mc:AlternateContent>
  <xr:revisionPtr revIDLastSave="0" documentId="13_ncr:1_{7A7F3A42-4105-41C5-9786-2E61CC1AF5B2}" xr6:coauthVersionLast="36" xr6:coauthVersionMax="36" xr10:uidLastSave="{00000000-0000-0000-0000-000000000000}"/>
  <bookViews>
    <workbookView xWindow="4245" yWindow="645" windowWidth="28035" windowHeight="15795" activeTab="3" xr2:uid="{00000000-000D-0000-FFFF-FFFF00000000}"/>
  </bookViews>
  <sheets>
    <sheet name="INA226" sheetId="2" r:id="rId1"/>
    <sheet name="INA228" sheetId="3" r:id="rId2"/>
    <sheet name="ADCRANGE" sheetId="4" state="hidden" r:id="rId3"/>
    <sheet name="INA228&amp;INA238&amp;TPA6271寄存器比较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3" l="1"/>
  <c r="E28" i="3"/>
  <c r="E27" i="3"/>
  <c r="F26" i="3"/>
  <c r="I29" i="3" s="1"/>
  <c r="K29" i="3" s="1"/>
  <c r="E26" i="3"/>
  <c r="I26" i="3" s="1"/>
  <c r="K26" i="3" s="1"/>
  <c r="I25" i="3"/>
  <c r="K25" i="3" s="1"/>
  <c r="E25" i="3"/>
  <c r="F24" i="3"/>
  <c r="I24" i="3" s="1"/>
  <c r="K24" i="3" s="1"/>
  <c r="E24" i="3"/>
  <c r="E23" i="3"/>
  <c r="C18" i="3"/>
  <c r="C19" i="3" s="1"/>
  <c r="C15" i="3"/>
  <c r="C12" i="3"/>
  <c r="C13" i="3" s="1"/>
  <c r="C11" i="3"/>
  <c r="C9" i="3"/>
  <c r="C3" i="3"/>
  <c r="F23" i="3" s="1"/>
  <c r="I23" i="3" s="1"/>
  <c r="K23" i="3" s="1"/>
  <c r="C2" i="3"/>
  <c r="G25" i="2"/>
  <c r="I25" i="2" s="1"/>
  <c r="G24" i="2"/>
  <c r="I24" i="2" s="1"/>
  <c r="D24" i="2"/>
  <c r="G23" i="2"/>
  <c r="I23" i="2" s="1"/>
  <c r="D23" i="2"/>
  <c r="D22" i="2"/>
  <c r="G22" i="2" s="1"/>
  <c r="I22" i="2" s="1"/>
  <c r="C18" i="2"/>
  <c r="C17" i="2"/>
  <c r="C14" i="2"/>
  <c r="C15" i="2" s="1"/>
  <c r="C11" i="2"/>
  <c r="C8" i="2"/>
  <c r="I27" i="3" l="1"/>
  <c r="K27" i="3" s="1"/>
  <c r="I28" i="3"/>
  <c r="K28" i="3" s="1"/>
</calcChain>
</file>

<file path=xl/sharedStrings.xml><?xml version="1.0" encoding="utf-8"?>
<sst xmlns="http://schemas.openxmlformats.org/spreadsheetml/2006/main" count="448" uniqueCount="256">
  <si>
    <t>Type</t>
  </si>
  <si>
    <t>Description</t>
  </si>
  <si>
    <t>Values</t>
  </si>
  <si>
    <t>Units</t>
  </si>
  <si>
    <t>INA226 Parameters</t>
  </si>
  <si>
    <t>Shunt voltage input range max</t>
  </si>
  <si>
    <t>V</t>
  </si>
  <si>
    <t>Shunt voltage LSB</t>
  </si>
  <si>
    <t>μV/LSB</t>
  </si>
  <si>
    <t>Bus voltage input range max</t>
  </si>
  <si>
    <t>Yellow highlighted cells are inputs required from user used by this excel.</t>
  </si>
  <si>
    <t>Bus voltage LSB</t>
  </si>
  <si>
    <t>mV/LSB</t>
  </si>
  <si>
    <t>Orange highlighted cells are INA226 register values to be programmed.</t>
  </si>
  <si>
    <t>Green highlighted cells are INA226 register values read for a programmed calibration register.</t>
  </si>
  <si>
    <t>Input from User -&gt;</t>
  </si>
  <si>
    <t>Max Expected current</t>
  </si>
  <si>
    <t>A</t>
  </si>
  <si>
    <t>Recommendation for design</t>
  </si>
  <si>
    <t>Recommended value of CURRENT_LSB</t>
  </si>
  <si>
    <t>A/LSB</t>
  </si>
  <si>
    <t>Value of CURRENT_LSB to be used</t>
  </si>
  <si>
    <t>Recommended Rshunt Value should be less than &lt;</t>
  </si>
  <si>
    <t>Ω</t>
  </si>
  <si>
    <r>
      <t>Actual value of Rshunt</t>
    </r>
    <r>
      <rPr>
        <sz val="11"/>
        <color rgb="FF000000"/>
        <rFont val="等线"/>
        <charset val="134"/>
      </rPr>
      <t xml:space="preserve"> used</t>
    </r>
    <r>
      <rPr>
        <sz val="11"/>
        <color rgb="FF000000"/>
        <rFont val="等线"/>
        <charset val="134"/>
      </rPr>
      <t xml:space="preserve"> in design</t>
    </r>
  </si>
  <si>
    <t>Calibration register(CAL) value</t>
  </si>
  <si>
    <t>To be programmed into INA226 Calibration Register - 05h -&gt;</t>
  </si>
  <si>
    <t>Calibration register(CAL) value in Hex</t>
  </si>
  <si>
    <t>Parameters to check proper usage</t>
  </si>
  <si>
    <t>Value measured by INA226</t>
  </si>
  <si>
    <t>Registers read from INA226</t>
  </si>
  <si>
    <t>Returned Value(in Hex)</t>
  </si>
  <si>
    <t>LSB Value</t>
  </si>
  <si>
    <t>Unit</t>
  </si>
  <si>
    <t>Calculated Value</t>
  </si>
  <si>
    <t>Input from User -&gt;
Read 01h to 04h registers from INA226 and enter in C20, C22, C23, C21.</t>
  </si>
  <si>
    <t>Shunt voltage - 01h</t>
  </si>
  <si>
    <t>0E36</t>
  </si>
  <si>
    <t>Shunt voltage across INA+ and INA- pins</t>
  </si>
  <si>
    <t>μV</t>
  </si>
  <si>
    <t>Current (A) - 04h</t>
  </si>
  <si>
    <t>20B7</t>
  </si>
  <si>
    <t>μA/LSB</t>
  </si>
  <si>
    <t>Current through the Shunt resistor</t>
  </si>
  <si>
    <t>μA</t>
  </si>
  <si>
    <t>Bus voltage (V) - 02h</t>
  </si>
  <si>
    <t>03BE</t>
  </si>
  <si>
    <t>Bus voltage as measured by VBUS pin</t>
  </si>
  <si>
    <t>mV</t>
  </si>
  <si>
    <t>Power (W) - 03h</t>
  </si>
  <si>
    <t>0191</t>
  </si>
  <si>
    <t>Current LSB x 25</t>
  </si>
  <si>
    <t>W/LSB</t>
  </si>
  <si>
    <t>Total power delivered through the Shunt resistor</t>
  </si>
  <si>
    <t>mW</t>
  </si>
  <si>
    <t>W</t>
  </si>
  <si>
    <t>Type</t>
  </si>
  <si>
    <t>Description</t>
  </si>
  <si>
    <t>Values</t>
  </si>
  <si>
    <t>Units</t>
  </si>
  <si>
    <t>INA228 Parameters</t>
  </si>
  <si>
    <t>Shunt voltage input range max</t>
  </si>
  <si>
    <t>V</t>
  </si>
  <si>
    <t>Shunt voltage LSB</t>
  </si>
  <si>
    <t>nV/LSB</t>
  </si>
  <si>
    <t>Bus voltage input range max</t>
  </si>
  <si>
    <t>Yellow highlighted cells are inputs required from user used by this excel.</t>
  </si>
  <si>
    <t>Bus voltage LSB</t>
  </si>
  <si>
    <t>μV/LSB</t>
  </si>
  <si>
    <t>Orange highlighted cells are INA228 register values to be programmed.</t>
  </si>
  <si>
    <t>Green highlighted cells are INA228 register values read for a programmed calibration register.</t>
  </si>
  <si>
    <t>ADCRANGE used</t>
  </si>
  <si>
    <t>ADCRANGE bit in CONFIG[4] register</t>
  </si>
  <si>
    <t>0h = ±163.84 mV
1h = ± 40.96 mV</t>
  </si>
  <si>
    <t>Input from User -&gt;</t>
  </si>
  <si>
    <t>Max Expected current</t>
  </si>
  <si>
    <t>400</t>
  </si>
  <si>
    <t>A</t>
  </si>
  <si>
    <t>修改该值</t>
  </si>
  <si>
    <t>Recommendation for design</t>
  </si>
  <si>
    <t>Recommended value of CURRENT_LSB</t>
  </si>
  <si>
    <t>A/LSB</t>
  </si>
  <si>
    <t>结果</t>
  </si>
  <si>
    <t>Value of CURRENT_LSB to be used</t>
  </si>
  <si>
    <t>修改该值取C9就好</t>
  </si>
  <si>
    <t>SHUNT_CAL[14:0] in Decimal</t>
  </si>
  <si>
    <t>To be programmed into INA228 SHUNT_CAL Register - 2h -&gt;</t>
  </si>
  <si>
    <t>SHUNT_CAL[14:0] in Hex</t>
  </si>
  <si>
    <t>Calculated value of CURRENT_LSB</t>
  </si>
  <si>
    <t>Recommended Rshunt Value should be less than &lt;</t>
  </si>
  <si>
    <t>Ω</t>
  </si>
  <si>
    <r>
      <t>Actual value of Rshunt</t>
    </r>
    <r>
      <rPr>
        <sz val="11"/>
        <color rgb="FF000000"/>
        <rFont val="等线"/>
        <charset val="134"/>
      </rPr>
      <t xml:space="preserve"> used</t>
    </r>
    <r>
      <rPr>
        <sz val="11"/>
        <color rgb="FF000000"/>
        <rFont val="等线"/>
        <charset val="134"/>
      </rPr>
      <t xml:space="preserve"> in design</t>
    </r>
  </si>
  <si>
    <t>0.00005</t>
  </si>
  <si>
    <t>Value measured by INA228</t>
  </si>
  <si>
    <t>Registers read from INA228</t>
  </si>
  <si>
    <t>Returned Value(in Hex)</t>
  </si>
  <si>
    <t>Required register bits</t>
  </si>
  <si>
    <t>Required Value(in Hex)</t>
  </si>
  <si>
    <t>LSB Value</t>
  </si>
  <si>
    <t>Unit</t>
  </si>
  <si>
    <t>Calculated Value</t>
  </si>
  <si>
    <t>Input from User -&gt;
Read registers from INA228 and enter in C19 to C25.</t>
  </si>
  <si>
    <t>VSHUNT[23:0] - 4h</t>
  </si>
  <si>
    <t>071170</t>
  </si>
  <si>
    <t>VSHUNT[23:4] - 4h</t>
  </si>
  <si>
    <t>Shunt voltage across INA+ and INA- pins</t>
  </si>
  <si>
    <t>nV</t>
  </si>
  <si>
    <t>VBUS[23:0] - 5h</t>
  </si>
  <si>
    <t>017DE0</t>
  </si>
  <si>
    <t>VBUS[23:4] - 5h</t>
  </si>
  <si>
    <t>Bus voltage as measured by VBUS pin</t>
  </si>
  <si>
    <t>μV</t>
  </si>
  <si>
    <t>DIETEMP[15:0] - 6h</t>
  </si>
  <si>
    <t>1320</t>
  </si>
  <si>
    <t>m°C/LSB</t>
  </si>
  <si>
    <t>On die temperature measured</t>
  </si>
  <si>
    <t>m°C</t>
  </si>
  <si>
    <t>°C</t>
  </si>
  <si>
    <t>CURRENT[23:0] - 7h</t>
  </si>
  <si>
    <t>01F950</t>
  </si>
  <si>
    <t>CURRENT[23:4] - 7h</t>
  </si>
  <si>
    <t>μA/LSB</t>
  </si>
  <si>
    <t>Current through the Shunt resistor</t>
  </si>
  <si>
    <t>μA</t>
  </si>
  <si>
    <t>POWER[23:0] - 8h</t>
  </si>
  <si>
    <t>000BC9</t>
  </si>
  <si>
    <t>3.2 x Current LSB</t>
  </si>
  <si>
    <t>W/LSB</t>
  </si>
  <si>
    <t>Total power delivered through the Shunt resistor</t>
  </si>
  <si>
    <t>mW</t>
  </si>
  <si>
    <t>W</t>
  </si>
  <si>
    <t>ENERGY[39:0] - 9h</t>
  </si>
  <si>
    <t>0000002B69</t>
  </si>
  <si>
    <t>16 x 3.2 x Current LSB</t>
  </si>
  <si>
    <t>J/LSB</t>
  </si>
  <si>
    <t>mJ</t>
  </si>
  <si>
    <t>J</t>
  </si>
  <si>
    <t>CHARGE[39:0] - Ah</t>
  </si>
  <si>
    <t>000007692C</t>
  </si>
  <si>
    <t>Current LSB</t>
  </si>
  <si>
    <r>
      <rPr>
        <sz val="11"/>
        <color rgb="FF000000"/>
        <rFont val="等线"/>
        <charset val="134"/>
      </rPr>
      <t>µ</t>
    </r>
    <r>
      <rPr>
        <sz val="11"/>
        <color rgb="FF000000"/>
        <rFont val="等线"/>
        <charset val="134"/>
      </rPr>
      <t>C/LSB</t>
    </r>
  </si>
  <si>
    <t>µC</t>
  </si>
  <si>
    <t>C</t>
  </si>
  <si>
    <t>0h = ±163.84 mV</t>
  </si>
  <si>
    <t>1h = ± 40.96 mV</t>
  </si>
  <si>
    <t>INA228</t>
  </si>
  <si>
    <t>INA238</t>
  </si>
  <si>
    <t>TPA6271</t>
  </si>
  <si>
    <t>地址</t>
  </si>
  <si>
    <t>类型</t>
  </si>
  <si>
    <t>首字母缩写词</t>
  </si>
  <si>
    <t>寄存器名称</t>
  </si>
  <si>
    <t>寄存器大小(位)</t>
  </si>
  <si>
    <t>备注</t>
  </si>
  <si>
    <t>00h</t>
  </si>
  <si>
    <t>R/W</t>
  </si>
  <si>
    <t>CONFIG</t>
  </si>
  <si>
    <t>配置</t>
  </si>
  <si>
    <t>共用</t>
  </si>
  <si>
    <t>01h</t>
  </si>
  <si>
    <t>ADC_CONFIG</t>
  </si>
  <si>
    <t>ADC 配置</t>
  </si>
  <si>
    <t>R</t>
  </si>
  <si>
    <t>VSHUNT</t>
  </si>
  <si>
    <t>分流电压测量</t>
  </si>
  <si>
    <t>02h</t>
  </si>
  <si>
    <t>SHUNT_CAL</t>
  </si>
  <si>
    <t>分流校准</t>
  </si>
  <si>
    <t>VBUS</t>
  </si>
  <si>
    <t>总线电压测量</t>
  </si>
  <si>
    <t>03h</t>
  </si>
  <si>
    <t>SHUNT_TEMPCO</t>
  </si>
  <si>
    <t>分流温度系数</t>
  </si>
  <si>
    <t>POWER</t>
  </si>
  <si>
    <t>功率结果</t>
  </si>
  <si>
    <t>04h</t>
  </si>
  <si>
    <t>CURRENT</t>
  </si>
  <si>
    <t>电流结果</t>
  </si>
  <si>
    <t>05h</t>
  </si>
  <si>
    <t>转换因子：195.3125μV/LSB</t>
  </si>
  <si>
    <t>转换因子：3.125mV/LSB</t>
  </si>
  <si>
    <t>CALIBRATION</t>
  </si>
  <si>
    <t>校准配置</t>
  </si>
  <si>
    <t>06h</t>
  </si>
  <si>
    <t>DIETEMP</t>
  </si>
  <si>
    <t>温度测量</t>
  </si>
  <si>
    <t>7.8125m°C/LSB</t>
  </si>
  <si>
    <t>转换因子：125m°C/LSB</t>
  </si>
  <si>
    <t>MASK/ENABLE</t>
  </si>
  <si>
    <t>故障配置</t>
  </si>
  <si>
    <t>07h</t>
  </si>
  <si>
    <t>Current [A] = CURRENT_LSB x CURRENT</t>
  </si>
  <si>
    <t>VSHUNT_LIMIT</t>
  </si>
  <si>
    <t>分流电压限制</t>
  </si>
  <si>
    <t>08h</t>
  </si>
  <si>
    <t>Power [W] = 3.2 x CURRENT_LSB x POWER</t>
  </si>
  <si>
    <t>VBUS_LIMIT</t>
  </si>
  <si>
    <t>总线电压限制</t>
  </si>
  <si>
    <t>09h</t>
  </si>
  <si>
    <t>ENERGY</t>
  </si>
  <si>
    <t>电能结果</t>
  </si>
  <si>
    <t>POWER_LIMIT</t>
  </si>
  <si>
    <t>功率结果限制</t>
  </si>
  <si>
    <t>0Ah</t>
  </si>
  <si>
    <t>CHARGE</t>
  </si>
  <si>
    <t>电荷结果</t>
  </si>
  <si>
    <t>Charge [C] = CURRENT_LSB x CHARGE</t>
  </si>
  <si>
    <t>0Bh</t>
  </si>
  <si>
    <t>DIAG_ALRT</t>
  </si>
  <si>
    <t>诊断标志和警报</t>
  </si>
  <si>
    <t>0Ch</t>
  </si>
  <si>
    <t>SOVL</t>
  </si>
  <si>
    <t>分流过压阈值</t>
  </si>
  <si>
    <t>0Dh</t>
  </si>
  <si>
    <t>SUVL</t>
  </si>
  <si>
    <t>分流欠压阈值</t>
  </si>
  <si>
    <t>0Eh</t>
  </si>
  <si>
    <t>BOVL</t>
  </si>
  <si>
    <t>总线过压阈值</t>
  </si>
  <si>
    <t>0Fh</t>
  </si>
  <si>
    <t>BUVL</t>
  </si>
  <si>
    <t>总线欠压阈值</t>
  </si>
  <si>
    <t>10h</t>
  </si>
  <si>
    <t>TEMP_LIMIT</t>
  </si>
  <si>
    <t>温度高于上限阈值</t>
  </si>
  <si>
    <t>转换因子：7.8125m°C/LSB</t>
  </si>
  <si>
    <t>11h</t>
  </si>
  <si>
    <t>PWR_LIMIT</t>
  </si>
  <si>
    <t>功率高于上限阈值</t>
  </si>
  <si>
    <t>3Eh</t>
  </si>
  <si>
    <t>MANUFACTURER_ID</t>
  </si>
  <si>
    <t>制造商 ID</t>
  </si>
  <si>
    <t>0x5449</t>
  </si>
  <si>
    <t>FEh</t>
  </si>
  <si>
    <t>0x5549</t>
  </si>
  <si>
    <t>3Fh</t>
  </si>
  <si>
    <t>DEVICE_ID</t>
  </si>
  <si>
    <t>器件 ID</t>
  </si>
  <si>
    <t>0x2281</t>
  </si>
  <si>
    <t>0x2381</t>
  </si>
  <si>
    <t>FFh</t>
  </si>
  <si>
    <t>0x2271</t>
  </si>
  <si>
    <t>Parameters to check proper usage</t>
    <phoneticPr fontId="8" type="noConversion"/>
  </si>
  <si>
    <t>Recommendation for design</t>
    <phoneticPr fontId="8" type="noConversion"/>
  </si>
  <si>
    <t>% of ADC range used based on shunt resistor used</t>
    <phoneticPr fontId="8" type="noConversion"/>
  </si>
  <si>
    <t>Max voltage drop across the shunt resistor</t>
    <phoneticPr fontId="8" type="noConversion"/>
  </si>
  <si>
    <t>寄存器大小(位)</t>
    <phoneticPr fontId="8" type="noConversion"/>
  </si>
  <si>
    <t>SHUNT_CAL = 13107.2 x 10^6 x CURRENT_LSB x RSHUNT
CURRENT_LSB = Max_Curr / 2^19</t>
    <phoneticPr fontId="8" type="noConversion"/>
  </si>
  <si>
    <t>SHUNT_CAL = 819.2 x 10^6 x CURRENT_LSB x RSHUNT
CURRENT_LSB = Max_Curr / 2^15</t>
    <phoneticPr fontId="8" type="noConversion"/>
  </si>
  <si>
    <t>转换因子：
312.5nV/LSB（ADCRANGE = 0 时）
78.125nV/LSB（ADCRANGE = 1 时）</t>
    <phoneticPr fontId="8" type="noConversion"/>
  </si>
  <si>
    <t>转换因子：
5μV/LSB（ADCRANGE = 0 时）
1.25μV/LSB（ADCRANGE = 1 时）</t>
    <phoneticPr fontId="8" type="noConversion"/>
  </si>
  <si>
    <t>Power [W] = 0.2 x CURRENT_LSB x POWER</t>
    <phoneticPr fontId="8" type="noConversion"/>
  </si>
  <si>
    <t>Energy [J] = 16 x 3.2 x CURRENT_LSB x ENERGY</t>
    <phoneticPr fontId="8" type="noConversion"/>
  </si>
  <si>
    <t>温度高于上限阈值</t>
    <phoneticPr fontId="8" type="noConversion"/>
  </si>
  <si>
    <t>共用，其中bit10和bit11为保留位0</t>
    <phoneticPr fontId="8" type="noConversion"/>
  </si>
  <si>
    <t>共用，其中bit5和bit14为保留位0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</si>
</sst>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0"/>
    <numFmt numFmtId="177" formatCode="0.000000000"/>
    <numFmt numFmtId="178" formatCode="0.0000"/>
  </numFmts>
  <fonts count="9" x14ac:knownFonts="1">
    <font>
      <sz val="12"/>
      <color theme="1"/>
      <name val="等线"/>
      <family val="2"/>
      <scheme val="minor"/>
    </font>
    <font>
      <b/>
      <sz val="11"/>
      <color rgb="FF3F3F76"/>
      <name val="等线"/>
      <family val="2"/>
      <scheme val="minor"/>
    </font>
    <font>
      <sz val="11"/>
      <color rgb="FF000000"/>
      <name val="等线"/>
      <family val="2"/>
      <scheme val="minor"/>
    </font>
    <font>
      <b/>
      <sz val="11"/>
      <color rgb="FF000000"/>
      <name val="等线"/>
      <family val="2"/>
      <scheme val="minor"/>
    </font>
    <font>
      <b/>
      <sz val="11"/>
      <color rgb="FF9C5700"/>
      <name val="等线"/>
      <family val="2"/>
      <scheme val="minor"/>
    </font>
    <font>
      <sz val="10"/>
      <color rgb="FF000000"/>
      <name val="等线"/>
      <family val="2"/>
      <scheme val="minor"/>
    </font>
    <font>
      <sz val="10"/>
      <color rgb="FFF54A45"/>
      <name val="等线"/>
      <family val="2"/>
      <scheme val="minor"/>
    </font>
    <font>
      <sz val="11"/>
      <color rgb="FF000000"/>
      <name val="等线"/>
      <charset val="134"/>
    </font>
    <font>
      <sz val="9"/>
      <name val="等线"/>
      <family val="3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</patternFill>
    </fill>
    <fill>
      <patternFill patternType="solid">
        <fgColor rgb="FFFFC000"/>
      </patternFill>
    </fill>
    <fill>
      <patternFill patternType="solid">
        <fgColor rgb="FF00B050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00"/>
      </patternFill>
    </fill>
    <fill>
      <patternFill patternType="solid">
        <fgColor rgb="FFFFC000"/>
      </patternFill>
    </fill>
    <fill>
      <patternFill patternType="solid">
        <fgColor rgb="FF00B050"/>
      </patternFill>
    </fill>
    <fill>
      <patternFill patternType="solid">
        <fgColor rgb="FFFFEB9C"/>
      </patternFill>
    </fill>
    <fill>
      <patternFill patternType="solid">
        <fgColor rgb="FFECE2FE"/>
      </patternFill>
    </fill>
    <fill>
      <patternFill patternType="solid">
        <fgColor rgb="FFFED4A4"/>
      </patternFill>
    </fill>
    <fill>
      <patternFill patternType="solid">
        <fgColor rgb="FFFFFFFF"/>
      </patternFill>
    </fill>
    <fill>
      <patternFill patternType="solid">
        <fgColor rgb="FF8F959E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Protection="0"/>
  </cellStyleXfs>
  <cellXfs count="121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3" fillId="4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right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7" borderId="17" xfId="0" applyFont="1" applyFill="1" applyBorder="1" applyAlignment="1">
      <alignment horizontal="right" vertical="center" wrapText="1"/>
    </xf>
    <xf numFmtId="0" fontId="1" fillId="7" borderId="25" xfId="0" applyFont="1" applyFill="1" applyBorder="1" applyAlignment="1">
      <alignment vertical="center" wrapText="1"/>
    </xf>
    <xf numFmtId="0" fontId="1" fillId="7" borderId="26" xfId="0" applyFont="1" applyFill="1" applyBorder="1" applyAlignment="1">
      <alignment horizontal="right" vertical="center" wrapText="1"/>
    </xf>
    <xf numFmtId="0" fontId="1" fillId="7" borderId="27" xfId="0" applyFont="1" applyFill="1" applyBorder="1" applyAlignment="1">
      <alignment vertical="center" wrapText="1"/>
    </xf>
    <xf numFmtId="49" fontId="3" fillId="10" borderId="19" xfId="0" applyNumberFormat="1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178" fontId="2" fillId="0" borderId="19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right" vertical="center" wrapText="1"/>
    </xf>
    <xf numFmtId="0" fontId="3" fillId="0" borderId="17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49" fontId="3" fillId="10" borderId="17" xfId="0" applyNumberFormat="1" applyFont="1" applyFill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178" fontId="2" fillId="0" borderId="17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right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2" fillId="0" borderId="0" xfId="0" applyFont="1" applyAlignment="1"/>
    <xf numFmtId="0" fontId="5" fillId="0" borderId="0" xfId="0" applyFont="1" applyAlignment="1">
      <alignment vertical="center"/>
    </xf>
    <xf numFmtId="0" fontId="5" fillId="0" borderId="32" xfId="0" applyFont="1" applyBorder="1" applyAlignment="1">
      <alignment vertical="center"/>
    </xf>
    <xf numFmtId="0" fontId="5" fillId="13" borderId="32" xfId="0" applyFont="1" applyFill="1" applyBorder="1" applyAlignment="1">
      <alignment horizontal="center" vertical="center"/>
    </xf>
    <xf numFmtId="0" fontId="5" fillId="13" borderId="32" xfId="0" applyFont="1" applyFill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14" borderId="32" xfId="0" applyFont="1" applyFill="1" applyBorder="1" applyAlignment="1">
      <alignment vertical="center"/>
    </xf>
    <xf numFmtId="0" fontId="6" fillId="14" borderId="32" xfId="0" applyFont="1" applyFill="1" applyBorder="1" applyAlignment="1">
      <alignment vertical="center"/>
    </xf>
    <xf numFmtId="0" fontId="5" fillId="15" borderId="32" xfId="0" applyFont="1" applyFill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6" fillId="15" borderId="3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4" fillId="11" borderId="22" xfId="0" applyFont="1" applyFill="1" applyBorder="1" applyAlignment="1">
      <alignment horizontal="center" vertical="center" wrapText="1"/>
    </xf>
    <xf numFmtId="0" fontId="4" fillId="11" borderId="23" xfId="0" applyFont="1" applyFill="1" applyBorder="1" applyAlignment="1">
      <alignment horizontal="center" vertical="center" wrapText="1"/>
    </xf>
    <xf numFmtId="0" fontId="4" fillId="11" borderId="24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32" xfId="0" applyFont="1" applyBorder="1" applyAlignment="1">
      <alignment vertical="center"/>
    </xf>
    <xf numFmtId="0" fontId="5" fillId="12" borderId="3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7" borderId="33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vertical="center" wrapText="1"/>
    </xf>
    <xf numFmtId="0" fontId="1" fillId="7" borderId="33" xfId="0" applyFont="1" applyFill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2" fillId="0" borderId="33" xfId="0" applyFont="1" applyBorder="1" applyAlignment="1">
      <alignment horizontal="right" vertical="center" wrapText="1"/>
    </xf>
    <xf numFmtId="0" fontId="2" fillId="0" borderId="33" xfId="0" applyFont="1" applyBorder="1" applyAlignment="1">
      <alignment horizontal="left" vertical="center" wrapText="1"/>
    </xf>
    <xf numFmtId="176" fontId="2" fillId="0" borderId="33" xfId="0" applyNumberFormat="1" applyFont="1" applyBorder="1" applyAlignment="1">
      <alignment horizontal="right" vertical="center" wrapText="1"/>
    </xf>
    <xf numFmtId="0" fontId="2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vertical="center"/>
    </xf>
    <xf numFmtId="0" fontId="3" fillId="9" borderId="33" xfId="0" applyFont="1" applyFill="1" applyBorder="1" applyAlignment="1">
      <alignment horizontal="right" vertical="center" wrapText="1"/>
    </xf>
    <xf numFmtId="0" fontId="3" fillId="0" borderId="33" xfId="0" applyFont="1" applyBorder="1" applyAlignment="1">
      <alignment horizontal="center" vertical="center" wrapText="1"/>
    </xf>
    <xf numFmtId="49" fontId="3" fillId="8" borderId="33" xfId="0" applyNumberFormat="1" applyFont="1" applyFill="1" applyBorder="1" applyAlignment="1">
      <alignment horizontal="right" vertical="center" wrapText="1"/>
    </xf>
    <xf numFmtId="49" fontId="2" fillId="0" borderId="33" xfId="0" applyNumberFormat="1" applyFont="1" applyBorder="1" applyAlignment="1">
      <alignment horizontal="right" vertical="center" wrapText="1"/>
    </xf>
    <xf numFmtId="0" fontId="2" fillId="0" borderId="33" xfId="0" applyFont="1" applyBorder="1" applyAlignment="1">
      <alignment wrapText="1"/>
    </xf>
    <xf numFmtId="0" fontId="3" fillId="8" borderId="33" xfId="0" applyFont="1" applyFill="1" applyBorder="1" applyAlignment="1">
      <alignment horizontal="right" vertical="center" wrapText="1"/>
    </xf>
    <xf numFmtId="0" fontId="6" fillId="14" borderId="3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25"/>
  <sheetViews>
    <sheetView workbookViewId="0">
      <selection activeCell="B33" sqref="B33"/>
    </sheetView>
  </sheetViews>
  <sheetFormatPr defaultRowHeight="15.75" x14ac:dyDescent="0.25"/>
  <cols>
    <col min="1" max="1" width="23.375" customWidth="1"/>
    <col min="2" max="2" width="43.25" customWidth="1"/>
    <col min="3" max="3" width="19.75" customWidth="1"/>
    <col min="4" max="4" width="13.5" customWidth="1"/>
    <col min="5" max="5" width="7" customWidth="1"/>
    <col min="6" max="6" width="40.125" customWidth="1"/>
    <col min="7" max="7" width="14.25" customWidth="1"/>
    <col min="8" max="8" width="4.375" customWidth="1"/>
    <col min="9" max="9" width="14.25" customWidth="1"/>
    <col min="10" max="10" width="4.375" customWidth="1"/>
    <col min="11" max="11" width="7.5" customWidth="1"/>
    <col min="12" max="20" width="8.125" customWidth="1"/>
  </cols>
  <sheetData>
    <row r="1" spans="1:10" ht="13.15" customHeight="1" x14ac:dyDescent="0.25">
      <c r="A1" s="1" t="s">
        <v>0</v>
      </c>
      <c r="B1" s="2" t="s">
        <v>1</v>
      </c>
      <c r="C1" s="1" t="s">
        <v>2</v>
      </c>
      <c r="D1" s="3" t="s">
        <v>3</v>
      </c>
    </row>
    <row r="2" spans="1:10" ht="13.15" customHeight="1" x14ac:dyDescent="0.25">
      <c r="A2" s="85" t="s">
        <v>4</v>
      </c>
      <c r="B2" s="4" t="s">
        <v>5</v>
      </c>
      <c r="C2" s="5">
        <v>8.1920000000000007E-2</v>
      </c>
      <c r="D2" s="6" t="s">
        <v>6</v>
      </c>
    </row>
    <row r="3" spans="1:10" ht="13.15" customHeight="1" x14ac:dyDescent="0.25">
      <c r="A3" s="90"/>
      <c r="B3" s="4" t="s">
        <v>7</v>
      </c>
      <c r="C3" s="5">
        <v>2.5</v>
      </c>
      <c r="D3" s="7" t="s">
        <v>8</v>
      </c>
    </row>
    <row r="4" spans="1:10" ht="13.7" customHeight="1" x14ac:dyDescent="0.25">
      <c r="A4" s="90"/>
      <c r="B4" s="4" t="s">
        <v>9</v>
      </c>
      <c r="C4" s="8">
        <v>40.96</v>
      </c>
      <c r="D4" s="8" t="s">
        <v>6</v>
      </c>
      <c r="F4" s="87" t="s">
        <v>10</v>
      </c>
      <c r="G4" s="87"/>
      <c r="H4" s="87"/>
      <c r="I4" s="87"/>
      <c r="J4" s="87"/>
    </row>
    <row r="5" spans="1:10" ht="13.7" customHeight="1" x14ac:dyDescent="0.25">
      <c r="A5" s="86"/>
      <c r="B5" s="8" t="s">
        <v>11</v>
      </c>
      <c r="C5" s="9">
        <v>1.25</v>
      </c>
      <c r="D5" s="10" t="s">
        <v>12</v>
      </c>
      <c r="F5" s="88" t="s">
        <v>13</v>
      </c>
      <c r="G5" s="88"/>
      <c r="H5" s="88"/>
      <c r="I5" s="88"/>
      <c r="J5" s="88"/>
    </row>
    <row r="6" spans="1:10" ht="13.15" customHeight="1" x14ac:dyDescent="0.25">
      <c r="A6" s="11"/>
      <c r="C6" s="12"/>
      <c r="D6" s="13"/>
      <c r="F6" s="89" t="s">
        <v>14</v>
      </c>
      <c r="G6" s="89"/>
      <c r="H6" s="89"/>
      <c r="I6" s="89"/>
      <c r="J6" s="89"/>
    </row>
    <row r="7" spans="1:10" ht="13.15" customHeight="1" x14ac:dyDescent="0.25">
      <c r="A7" s="14" t="s">
        <v>15</v>
      </c>
      <c r="B7" s="8" t="s">
        <v>16</v>
      </c>
      <c r="C7" s="15">
        <v>2.5</v>
      </c>
      <c r="D7" s="10" t="s">
        <v>17</v>
      </c>
    </row>
    <row r="8" spans="1:10" ht="13.15" customHeight="1" x14ac:dyDescent="0.25">
      <c r="A8" s="16" t="s">
        <v>18</v>
      </c>
      <c r="B8" s="8" t="s">
        <v>19</v>
      </c>
      <c r="C8" s="17">
        <f>(C7/POWER(2,15))</f>
        <v>7.62939453125E-5</v>
      </c>
      <c r="D8" s="10" t="s">
        <v>20</v>
      </c>
    </row>
    <row r="9" spans="1:10" ht="13.15" customHeight="1" x14ac:dyDescent="0.2">
      <c r="A9" s="14" t="s">
        <v>15</v>
      </c>
      <c r="B9" s="18" t="s">
        <v>21</v>
      </c>
      <c r="C9" s="15">
        <v>1E-4</v>
      </c>
      <c r="D9" s="10" t="s">
        <v>20</v>
      </c>
    </row>
    <row r="10" spans="1:10" ht="13.15" customHeight="1" x14ac:dyDescent="0.25">
      <c r="A10" s="11"/>
      <c r="C10" s="12"/>
      <c r="D10" s="13"/>
    </row>
    <row r="11" spans="1:10" ht="13.15" customHeight="1" x14ac:dyDescent="0.25">
      <c r="A11" s="16" t="s">
        <v>18</v>
      </c>
      <c r="B11" s="8" t="s">
        <v>22</v>
      </c>
      <c r="C11" s="17">
        <f>(C2)/C7</f>
        <v>3.2768000000000005E-2</v>
      </c>
      <c r="D11" s="10" t="s">
        <v>23</v>
      </c>
    </row>
    <row r="12" spans="1:10" ht="13.7" customHeight="1" x14ac:dyDescent="0.25">
      <c r="A12" s="14" t="s">
        <v>15</v>
      </c>
      <c r="B12" s="8" t="s">
        <v>24</v>
      </c>
      <c r="C12" s="15">
        <v>0.01</v>
      </c>
      <c r="D12" s="10" t="s">
        <v>23</v>
      </c>
    </row>
    <row r="13" spans="1:10" ht="13.15" customHeight="1" x14ac:dyDescent="0.2">
      <c r="A13" s="19"/>
      <c r="B13" s="19"/>
      <c r="C13" s="19"/>
      <c r="D13" s="19"/>
    </row>
    <row r="14" spans="1:10" ht="13.15" customHeight="1" x14ac:dyDescent="0.25">
      <c r="A14" s="16"/>
      <c r="B14" s="8" t="s">
        <v>25</v>
      </c>
      <c r="C14" s="17">
        <f>ROUND((0.00512/(C9*C12)),0)</f>
        <v>5120</v>
      </c>
      <c r="D14" s="10"/>
    </row>
    <row r="15" spans="1:10" ht="38.65" customHeight="1" x14ac:dyDescent="0.25">
      <c r="A15" s="14" t="s">
        <v>26</v>
      </c>
      <c r="B15" s="8" t="s">
        <v>27</v>
      </c>
      <c r="C15" s="20" t="str">
        <f>DEC2HEX(C14)</f>
        <v>1400</v>
      </c>
      <c r="D15" s="10"/>
    </row>
    <row r="16" spans="1:10" ht="13.15" customHeight="1" x14ac:dyDescent="0.25">
      <c r="A16" s="11"/>
      <c r="C16" s="12"/>
      <c r="D16" s="13"/>
    </row>
    <row r="17" spans="1:10" ht="13.15" customHeight="1" x14ac:dyDescent="0.25">
      <c r="A17" s="85" t="s">
        <v>28</v>
      </c>
      <c r="B17" s="8" t="s">
        <v>245</v>
      </c>
      <c r="C17" s="17">
        <f>C7*C12</f>
        <v>2.5000000000000001E-2</v>
      </c>
      <c r="D17" s="10" t="s">
        <v>6</v>
      </c>
    </row>
    <row r="18" spans="1:10" ht="13.15" customHeight="1" x14ac:dyDescent="0.25">
      <c r="A18" s="86"/>
      <c r="B18" s="8" t="s">
        <v>244</v>
      </c>
      <c r="C18" s="17">
        <f>(C17/C2)*100</f>
        <v>30.517578125</v>
      </c>
      <c r="D18" s="10"/>
    </row>
    <row r="19" spans="1:10" ht="13.7" customHeight="1" x14ac:dyDescent="0.25">
      <c r="A19" s="11"/>
      <c r="B19" s="21"/>
      <c r="C19" s="12"/>
      <c r="D19" s="13"/>
    </row>
    <row r="20" spans="1:10" ht="13.15" customHeight="1" x14ac:dyDescent="0.25">
      <c r="A20" s="11"/>
      <c r="B20" s="21"/>
      <c r="D20" s="12"/>
      <c r="F20" s="82" t="s">
        <v>29</v>
      </c>
      <c r="G20" s="83"/>
      <c r="H20" s="83"/>
      <c r="I20" s="83"/>
      <c r="J20" s="84"/>
    </row>
    <row r="21" spans="1:10" ht="13.15" customHeight="1" x14ac:dyDescent="0.25">
      <c r="A21" s="11"/>
      <c r="B21" s="22" t="s">
        <v>30</v>
      </c>
      <c r="C21" s="1" t="s">
        <v>31</v>
      </c>
      <c r="D21" s="22" t="s">
        <v>32</v>
      </c>
      <c r="E21" s="23" t="s">
        <v>33</v>
      </c>
      <c r="F21" s="24" t="s">
        <v>1</v>
      </c>
      <c r="G21" s="2" t="s">
        <v>34</v>
      </c>
      <c r="H21" s="2" t="s">
        <v>33</v>
      </c>
      <c r="I21" s="2" t="s">
        <v>34</v>
      </c>
      <c r="J21" s="25" t="s">
        <v>33</v>
      </c>
    </row>
    <row r="22" spans="1:10" ht="13.15" customHeight="1" x14ac:dyDescent="0.25">
      <c r="A22" s="81" t="s">
        <v>35</v>
      </c>
      <c r="B22" s="26" t="s">
        <v>36</v>
      </c>
      <c r="C22" s="27" t="s">
        <v>37</v>
      </c>
      <c r="D22" s="28">
        <f>C3</f>
        <v>2.5</v>
      </c>
      <c r="E22" s="7" t="s">
        <v>8</v>
      </c>
      <c r="F22" s="29" t="s">
        <v>38</v>
      </c>
      <c r="G22" s="8">
        <f>D22*IF((HEX2DEC(C22) &lt;= 32767), HEX2DEC(C22), (HEX2DEC(C22)-65536))</f>
        <v>9095</v>
      </c>
      <c r="H22" s="8" t="s">
        <v>39</v>
      </c>
      <c r="I22" s="30">
        <f t="shared" ref="I22:I23" si="0">G22/1000000</f>
        <v>9.0950000000000007E-3</v>
      </c>
      <c r="J22" s="31" t="s">
        <v>6</v>
      </c>
    </row>
    <row r="23" spans="1:10" ht="13.15" customHeight="1" x14ac:dyDescent="0.25">
      <c r="A23" s="81"/>
      <c r="B23" s="32" t="s">
        <v>40</v>
      </c>
      <c r="C23" s="33" t="s">
        <v>41</v>
      </c>
      <c r="D23" s="34">
        <f>C9*1000000</f>
        <v>100</v>
      </c>
      <c r="E23" s="35" t="s">
        <v>42</v>
      </c>
      <c r="F23" s="29" t="s">
        <v>43</v>
      </c>
      <c r="G23" s="8">
        <f t="shared" ref="G23:G24" si="1">D23*HEX2DEC(C23)</f>
        <v>837500</v>
      </c>
      <c r="H23" s="8" t="s">
        <v>44</v>
      </c>
      <c r="I23" s="30">
        <f t="shared" si="0"/>
        <v>0.83750000000000002</v>
      </c>
      <c r="J23" s="31" t="s">
        <v>17</v>
      </c>
    </row>
    <row r="24" spans="1:10" ht="13.15" customHeight="1" x14ac:dyDescent="0.25">
      <c r="A24" s="81"/>
      <c r="B24" s="32" t="s">
        <v>45</v>
      </c>
      <c r="C24" s="33" t="s">
        <v>46</v>
      </c>
      <c r="D24" s="34">
        <f>C5</f>
        <v>1.25</v>
      </c>
      <c r="E24" s="35" t="s">
        <v>12</v>
      </c>
      <c r="F24" s="29" t="s">
        <v>47</v>
      </c>
      <c r="G24" s="8">
        <f t="shared" si="1"/>
        <v>1197.5</v>
      </c>
      <c r="H24" s="8" t="s">
        <v>48</v>
      </c>
      <c r="I24" s="30">
        <f t="shared" ref="I24:I25" si="2">G24/1000</f>
        <v>1.1975</v>
      </c>
      <c r="J24" s="31" t="s">
        <v>6</v>
      </c>
    </row>
    <row r="25" spans="1:10" ht="13.7" customHeight="1" x14ac:dyDescent="0.25">
      <c r="A25" s="81"/>
      <c r="B25" s="32" t="s">
        <v>49</v>
      </c>
      <c r="C25" s="33" t="s">
        <v>50</v>
      </c>
      <c r="D25" s="17" t="s">
        <v>51</v>
      </c>
      <c r="E25" s="35" t="s">
        <v>52</v>
      </c>
      <c r="F25" s="36" t="s">
        <v>53</v>
      </c>
      <c r="G25" s="37">
        <f>D23*25*(HEX2DEC(C25)/1000)</f>
        <v>1002.5000000000001</v>
      </c>
      <c r="H25" s="37" t="s">
        <v>54</v>
      </c>
      <c r="I25" s="38">
        <f t="shared" si="2"/>
        <v>1.0025000000000002</v>
      </c>
      <c r="J25" s="39" t="s">
        <v>55</v>
      </c>
    </row>
  </sheetData>
  <mergeCells count="7">
    <mergeCell ref="A22:A25"/>
    <mergeCell ref="F20:J20"/>
    <mergeCell ref="A17:A18"/>
    <mergeCell ref="F4:J4"/>
    <mergeCell ref="F5:J5"/>
    <mergeCell ref="F6:J6"/>
    <mergeCell ref="A2:A5"/>
  </mergeCells>
  <phoneticPr fontId="8" type="noConversion"/>
  <dataValidations count="1">
    <dataValidation type="decimal" allowBlank="1" showErrorMessage="1" sqref="C17" xr:uid="{00000000-0002-0000-0000-000000000000}">
      <formula1>0</formula1>
      <formula2>0.08192</formula2>
    </dataValidation>
  </dataValidations>
  <pageMargins left="0.7" right="0.7" top="0.75" bottom="0.75" header="0.3" footer="0.3"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29"/>
  <sheetViews>
    <sheetView zoomScale="120" zoomScaleNormal="120" workbookViewId="0">
      <selection activeCell="E16" sqref="E16"/>
    </sheetView>
  </sheetViews>
  <sheetFormatPr defaultRowHeight="15.75" x14ac:dyDescent="0.25"/>
  <cols>
    <col min="1" max="1" width="21.875" customWidth="1"/>
    <col min="2" max="2" width="36.125" customWidth="1"/>
    <col min="3" max="3" width="21.875" customWidth="1"/>
    <col min="4" max="5" width="19.75" customWidth="1"/>
    <col min="6" max="6" width="17.625" customWidth="1"/>
    <col min="7" max="7" width="7.75" customWidth="1"/>
    <col min="8" max="8" width="36.875" customWidth="1"/>
    <col min="9" max="9" width="14.25" customWidth="1"/>
    <col min="10" max="10" width="4.375" customWidth="1"/>
    <col min="11" max="11" width="14.25" customWidth="1"/>
    <col min="12" max="12" width="4.375" customWidth="1"/>
    <col min="13" max="13" width="7.5" customWidth="1"/>
    <col min="14" max="20" width="8.125" customWidth="1"/>
  </cols>
  <sheetData>
    <row r="1" spans="1:12" ht="13.15" customHeight="1" x14ac:dyDescent="0.25">
      <c r="A1" s="104" t="s">
        <v>56</v>
      </c>
      <c r="B1" s="105" t="s">
        <v>57</v>
      </c>
      <c r="C1" s="104" t="s">
        <v>58</v>
      </c>
      <c r="D1" s="106" t="s">
        <v>59</v>
      </c>
    </row>
    <row r="2" spans="1:12" ht="13.15" customHeight="1" x14ac:dyDescent="0.25">
      <c r="A2" s="107" t="s">
        <v>60</v>
      </c>
      <c r="B2" s="108" t="s">
        <v>61</v>
      </c>
      <c r="C2" s="109">
        <f>IF(C7=0, 0.16384, 0.04096)</f>
        <v>4.0960000000000003E-2</v>
      </c>
      <c r="D2" s="110" t="s">
        <v>62</v>
      </c>
    </row>
    <row r="3" spans="1:12" ht="13.15" customHeight="1" x14ac:dyDescent="0.25">
      <c r="A3" s="107"/>
      <c r="B3" s="108" t="s">
        <v>63</v>
      </c>
      <c r="C3" s="109">
        <f>IF(C7=0, 312.5, 78.125)</f>
        <v>78.125</v>
      </c>
      <c r="D3" s="110" t="s">
        <v>64</v>
      </c>
    </row>
    <row r="4" spans="1:12" ht="13.7" customHeight="1" x14ac:dyDescent="0.25">
      <c r="A4" s="107"/>
      <c r="B4" s="108" t="s">
        <v>65</v>
      </c>
      <c r="C4" s="108">
        <v>85</v>
      </c>
      <c r="D4" s="108" t="s">
        <v>62</v>
      </c>
      <c r="H4" s="94" t="s">
        <v>66</v>
      </c>
      <c r="I4" s="94"/>
      <c r="J4" s="94"/>
      <c r="K4" s="94"/>
      <c r="L4" s="94"/>
    </row>
    <row r="5" spans="1:12" ht="13.7" customHeight="1" x14ac:dyDescent="0.25">
      <c r="A5" s="107"/>
      <c r="B5" s="108" t="s">
        <v>67</v>
      </c>
      <c r="C5" s="111">
        <v>195.3125</v>
      </c>
      <c r="D5" s="108" t="s">
        <v>68</v>
      </c>
      <c r="H5" s="95" t="s">
        <v>69</v>
      </c>
      <c r="I5" s="95"/>
      <c r="J5" s="95"/>
      <c r="K5" s="95"/>
      <c r="L5" s="95"/>
    </row>
    <row r="6" spans="1:12" ht="13.15" customHeight="1" x14ac:dyDescent="0.25">
      <c r="A6" s="112"/>
      <c r="B6" s="113"/>
      <c r="C6" s="109"/>
      <c r="D6" s="110"/>
      <c r="H6" s="99" t="s">
        <v>70</v>
      </c>
      <c r="I6" s="99"/>
      <c r="J6" s="99"/>
      <c r="K6" s="99"/>
      <c r="L6" s="99"/>
    </row>
    <row r="7" spans="1:12" ht="25.5" customHeight="1" x14ac:dyDescent="0.25">
      <c r="A7" s="112" t="s">
        <v>71</v>
      </c>
      <c r="B7" s="108" t="s">
        <v>72</v>
      </c>
      <c r="C7" s="114">
        <v>1</v>
      </c>
      <c r="D7" s="112" t="s">
        <v>73</v>
      </c>
    </row>
    <row r="8" spans="1:12" ht="13.15" customHeight="1" x14ac:dyDescent="0.25">
      <c r="A8" s="115" t="s">
        <v>74</v>
      </c>
      <c r="B8" s="108" t="s">
        <v>75</v>
      </c>
      <c r="C8" s="116" t="s">
        <v>76</v>
      </c>
      <c r="D8" s="110" t="s">
        <v>77</v>
      </c>
      <c r="E8" s="44" t="s">
        <v>78</v>
      </c>
    </row>
    <row r="9" spans="1:12" ht="13.15" customHeight="1" x14ac:dyDescent="0.25">
      <c r="A9" s="112" t="s">
        <v>79</v>
      </c>
      <c r="B9" s="108" t="s">
        <v>80</v>
      </c>
      <c r="C9" s="117">
        <f>(C8/POWER(2,19))</f>
        <v>7.62939453125E-4</v>
      </c>
      <c r="D9" s="110" t="s">
        <v>81</v>
      </c>
      <c r="E9" s="44" t="s">
        <v>82</v>
      </c>
    </row>
    <row r="10" spans="1:12" ht="13.15" customHeight="1" x14ac:dyDescent="0.2">
      <c r="A10" s="115" t="s">
        <v>74</v>
      </c>
      <c r="B10" s="118" t="s">
        <v>83</v>
      </c>
      <c r="C10" s="119">
        <v>7.6293900000000002E-4</v>
      </c>
      <c r="D10" s="110" t="s">
        <v>81</v>
      </c>
      <c r="E10" s="44" t="s">
        <v>84</v>
      </c>
    </row>
    <row r="11" spans="1:12" ht="13.15" customHeight="1" x14ac:dyDescent="0.25">
      <c r="A11" s="115"/>
      <c r="B11" s="108" t="s">
        <v>85</v>
      </c>
      <c r="C11" s="109">
        <f>ROUND((13107.2*1000000*C10*C16*IF(C7=0, 1, 4)), 0)</f>
        <v>2000</v>
      </c>
      <c r="D11" s="110" t="s">
        <v>81</v>
      </c>
    </row>
    <row r="12" spans="1:12" ht="42.75" x14ac:dyDescent="0.25">
      <c r="A12" s="115" t="s">
        <v>86</v>
      </c>
      <c r="B12" s="108" t="s">
        <v>87</v>
      </c>
      <c r="C12" s="114" t="str">
        <f>DEC2HEX(C11)</f>
        <v>7D0</v>
      </c>
      <c r="D12" s="110" t="s">
        <v>81</v>
      </c>
      <c r="E12" s="44" t="s">
        <v>82</v>
      </c>
    </row>
    <row r="13" spans="1:12" ht="13.15" customHeight="1" x14ac:dyDescent="0.25">
      <c r="A13" s="112"/>
      <c r="B13" s="108" t="s">
        <v>88</v>
      </c>
      <c r="C13" s="109">
        <f>HEX2DEC(C12)/(13107.2*1000000*C16)</f>
        <v>3.0517578125E-3</v>
      </c>
      <c r="D13" s="110" t="s">
        <v>81</v>
      </c>
    </row>
    <row r="14" spans="1:12" ht="13.15" customHeight="1" x14ac:dyDescent="0.25">
      <c r="A14" s="112"/>
      <c r="B14" s="113"/>
      <c r="C14" s="109"/>
      <c r="D14" s="110"/>
    </row>
    <row r="15" spans="1:12" ht="13.15" customHeight="1" x14ac:dyDescent="0.25">
      <c r="A15" s="112" t="s">
        <v>243</v>
      </c>
      <c r="B15" s="108" t="s">
        <v>89</v>
      </c>
      <c r="C15" s="109">
        <f>(C2)/C8</f>
        <v>1.0240000000000001E-4</v>
      </c>
      <c r="D15" s="110" t="s">
        <v>90</v>
      </c>
    </row>
    <row r="16" spans="1:12" ht="13.7" customHeight="1" x14ac:dyDescent="0.25">
      <c r="A16" s="115" t="s">
        <v>74</v>
      </c>
      <c r="B16" s="108" t="s">
        <v>91</v>
      </c>
      <c r="C16" s="116" t="s">
        <v>92</v>
      </c>
      <c r="D16" s="110" t="s">
        <v>90</v>
      </c>
      <c r="E16" s="44" t="s">
        <v>78</v>
      </c>
    </row>
    <row r="17" spans="1:12" ht="13.15" customHeight="1" x14ac:dyDescent="0.2">
      <c r="A17" s="118"/>
      <c r="B17" s="108"/>
      <c r="C17" s="118"/>
      <c r="D17" s="118"/>
    </row>
    <row r="18" spans="1:12" ht="13.15" customHeight="1" x14ac:dyDescent="0.25">
      <c r="A18" s="107" t="s">
        <v>242</v>
      </c>
      <c r="B18" s="108" t="s">
        <v>245</v>
      </c>
      <c r="C18" s="109">
        <f>C8*C16</f>
        <v>0.02</v>
      </c>
      <c r="D18" s="110" t="s">
        <v>62</v>
      </c>
    </row>
    <row r="19" spans="1:12" ht="13.15" customHeight="1" x14ac:dyDescent="0.25">
      <c r="A19" s="107"/>
      <c r="B19" s="108" t="s">
        <v>244</v>
      </c>
      <c r="C19" s="109">
        <f>(C18/C2)*100</f>
        <v>48.828124999999993</v>
      </c>
      <c r="D19" s="110"/>
    </row>
    <row r="20" spans="1:12" ht="13.7" customHeight="1" x14ac:dyDescent="0.25">
      <c r="A20" s="44"/>
      <c r="B20" s="48"/>
      <c r="C20" s="48"/>
      <c r="D20" s="48"/>
      <c r="E20" s="45"/>
      <c r="F20" s="46"/>
    </row>
    <row r="21" spans="1:12" ht="13.15" customHeight="1" x14ac:dyDescent="0.25">
      <c r="A21" s="44"/>
      <c r="B21" s="48"/>
      <c r="C21" s="48"/>
      <c r="D21" s="48"/>
      <c r="F21" s="45"/>
      <c r="H21" s="96" t="s">
        <v>93</v>
      </c>
      <c r="I21" s="97"/>
      <c r="J21" s="97"/>
      <c r="K21" s="97"/>
      <c r="L21" s="98"/>
    </row>
    <row r="22" spans="1:12" ht="13.15" customHeight="1" x14ac:dyDescent="0.25">
      <c r="A22" s="44"/>
      <c r="B22" s="49" t="s">
        <v>94</v>
      </c>
      <c r="C22" s="40" t="s">
        <v>95</v>
      </c>
      <c r="D22" s="49" t="s">
        <v>96</v>
      </c>
      <c r="E22" s="40" t="s">
        <v>97</v>
      </c>
      <c r="F22" s="49" t="s">
        <v>98</v>
      </c>
      <c r="G22" s="50" t="s">
        <v>99</v>
      </c>
      <c r="H22" s="51" t="s">
        <v>57</v>
      </c>
      <c r="I22" s="41" t="s">
        <v>100</v>
      </c>
      <c r="J22" s="41" t="s">
        <v>99</v>
      </c>
      <c r="K22" s="41" t="s">
        <v>100</v>
      </c>
      <c r="L22" s="52" t="s">
        <v>99</v>
      </c>
    </row>
    <row r="23" spans="1:12" ht="13.7" customHeight="1" x14ac:dyDescent="0.25">
      <c r="A23" s="91" t="s">
        <v>101</v>
      </c>
      <c r="B23" s="47" t="s">
        <v>102</v>
      </c>
      <c r="C23" s="53" t="s">
        <v>103</v>
      </c>
      <c r="D23" s="47" t="s">
        <v>104</v>
      </c>
      <c r="E23" s="54" t="str">
        <f t="shared" ref="E23:E24" si="0">LEFT(C23,LEN(C23)-1)</f>
        <v>07117</v>
      </c>
      <c r="F23" s="55">
        <f>C3</f>
        <v>78.125</v>
      </c>
      <c r="G23" s="43" t="s">
        <v>64</v>
      </c>
      <c r="H23" s="56" t="s">
        <v>105</v>
      </c>
      <c r="I23" s="42">
        <f>F23*IF((HEX2DEC(E23) &lt;= 524287), HEX2DEC(E23), (HEX2DEC(E23)-1048576))</f>
        <v>2261796.875</v>
      </c>
      <c r="J23" s="42" t="s">
        <v>106</v>
      </c>
      <c r="K23" s="57">
        <f>I23/1000000000</f>
        <v>2.2617968749999999E-3</v>
      </c>
      <c r="L23" s="58" t="s">
        <v>62</v>
      </c>
    </row>
    <row r="24" spans="1:12" ht="13.15" customHeight="1" x14ac:dyDescent="0.25">
      <c r="A24" s="92"/>
      <c r="B24" s="47" t="s">
        <v>107</v>
      </c>
      <c r="C24" s="53" t="s">
        <v>108</v>
      </c>
      <c r="D24" s="47" t="s">
        <v>109</v>
      </c>
      <c r="E24" s="54" t="str">
        <f t="shared" si="0"/>
        <v>017DE</v>
      </c>
      <c r="F24" s="55">
        <f>C5</f>
        <v>195.3125</v>
      </c>
      <c r="G24" s="43" t="s">
        <v>68</v>
      </c>
      <c r="H24" s="56" t="s">
        <v>110</v>
      </c>
      <c r="I24" s="42">
        <f>F24*HEX2DEC(E24)</f>
        <v>1193359.375</v>
      </c>
      <c r="J24" s="42" t="s">
        <v>111</v>
      </c>
      <c r="K24" s="57">
        <f>I24/1000000</f>
        <v>1.193359375</v>
      </c>
      <c r="L24" s="58" t="s">
        <v>62</v>
      </c>
    </row>
    <row r="25" spans="1:12" ht="13.15" customHeight="1" x14ac:dyDescent="0.25">
      <c r="A25" s="92"/>
      <c r="B25" s="47" t="s">
        <v>112</v>
      </c>
      <c r="C25" s="59" t="s">
        <v>113</v>
      </c>
      <c r="D25" s="47" t="s">
        <v>112</v>
      </c>
      <c r="E25" s="59" t="str">
        <f>C25</f>
        <v>1320</v>
      </c>
      <c r="F25" s="47">
        <v>7.8125</v>
      </c>
      <c r="G25" s="60" t="s">
        <v>114</v>
      </c>
      <c r="H25" s="56" t="s">
        <v>115</v>
      </c>
      <c r="I25" s="42">
        <f>(HEX2DEC(E25)*F25)</f>
        <v>38250</v>
      </c>
      <c r="J25" s="42" t="s">
        <v>116</v>
      </c>
      <c r="K25" s="57">
        <f>I25/1000</f>
        <v>38.25</v>
      </c>
      <c r="L25" s="58" t="s">
        <v>117</v>
      </c>
    </row>
    <row r="26" spans="1:12" ht="13.15" customHeight="1" x14ac:dyDescent="0.25">
      <c r="A26" s="92"/>
      <c r="B26" s="47" t="s">
        <v>118</v>
      </c>
      <c r="C26" s="59" t="s">
        <v>119</v>
      </c>
      <c r="D26" s="47" t="s">
        <v>120</v>
      </c>
      <c r="E26" s="54" t="str">
        <f>LEFT(C26,LEN(C26)-1)</f>
        <v>01F95</v>
      </c>
      <c r="F26" s="61">
        <f>C10*1000000</f>
        <v>762.93900000000008</v>
      </c>
      <c r="G26" s="60" t="s">
        <v>121</v>
      </c>
      <c r="H26" s="56" t="s">
        <v>122</v>
      </c>
      <c r="I26" s="42">
        <f>F26*IF(HEX2DEC(E26) &gt;= 2^19, HEX2DEC(E26) - 2^20, HEX2DEC(E26))</f>
        <v>6168361.8150000004</v>
      </c>
      <c r="J26" s="42" t="s">
        <v>123</v>
      </c>
      <c r="K26" s="57">
        <f>I26/1000000</f>
        <v>6.1683618150000008</v>
      </c>
      <c r="L26" s="58" t="s">
        <v>77</v>
      </c>
    </row>
    <row r="27" spans="1:12" ht="13.15" customHeight="1" x14ac:dyDescent="0.25">
      <c r="A27" s="92"/>
      <c r="B27" s="47" t="s">
        <v>124</v>
      </c>
      <c r="C27" s="59" t="s">
        <v>125</v>
      </c>
      <c r="D27" s="47" t="s">
        <v>124</v>
      </c>
      <c r="E27" s="59" t="str">
        <f t="shared" ref="E27:E29" si="1">C27</f>
        <v>000BC9</v>
      </c>
      <c r="F27" s="47" t="s">
        <v>126</v>
      </c>
      <c r="G27" s="60" t="s">
        <v>127</v>
      </c>
      <c r="H27" s="56" t="s">
        <v>128</v>
      </c>
      <c r="I27" s="42">
        <f>F26*3.2*(HEX2DEC(E27)/1000)</f>
        <v>7365.7182816000004</v>
      </c>
      <c r="J27" s="42" t="s">
        <v>129</v>
      </c>
      <c r="K27" s="57">
        <f t="shared" ref="K27:K28" si="2">I27/1000</f>
        <v>7.3657182816000004</v>
      </c>
      <c r="L27" s="58" t="s">
        <v>130</v>
      </c>
    </row>
    <row r="28" spans="1:12" ht="13.15" customHeight="1" x14ac:dyDescent="0.25">
      <c r="A28" s="92"/>
      <c r="B28" s="47" t="s">
        <v>131</v>
      </c>
      <c r="C28" s="59" t="s">
        <v>132</v>
      </c>
      <c r="D28" s="47" t="s">
        <v>131</v>
      </c>
      <c r="E28" s="59" t="str">
        <f t="shared" si="1"/>
        <v>0000002B69</v>
      </c>
      <c r="F28" s="47" t="s">
        <v>133</v>
      </c>
      <c r="G28" s="60" t="s">
        <v>134</v>
      </c>
      <c r="H28" s="56" t="s">
        <v>128</v>
      </c>
      <c r="I28" s="42">
        <f>F26*16*3.2*(HEX2DEC(E28)/1000)</f>
        <v>434101.30467840005</v>
      </c>
      <c r="J28" s="60" t="s">
        <v>135</v>
      </c>
      <c r="K28" s="57">
        <f t="shared" si="2"/>
        <v>434.10130467840003</v>
      </c>
      <c r="L28" s="58" t="s">
        <v>136</v>
      </c>
    </row>
    <row r="29" spans="1:12" ht="14.25" customHeight="1" x14ac:dyDescent="0.25">
      <c r="A29" s="93"/>
      <c r="B29" s="47" t="s">
        <v>137</v>
      </c>
      <c r="C29" s="59" t="s">
        <v>138</v>
      </c>
      <c r="D29" s="47" t="s">
        <v>137</v>
      </c>
      <c r="E29" s="59" t="str">
        <f t="shared" si="1"/>
        <v>000007692C</v>
      </c>
      <c r="F29" s="47" t="s">
        <v>139</v>
      </c>
      <c r="G29" s="60" t="s">
        <v>140</v>
      </c>
      <c r="H29" s="62" t="s">
        <v>128</v>
      </c>
      <c r="I29" s="63">
        <f>F26*HEX2DEC(E29)</f>
        <v>370541161.76400006</v>
      </c>
      <c r="J29" s="64" t="s">
        <v>141</v>
      </c>
      <c r="K29" s="65">
        <f>I29/1000000</f>
        <v>370.54116176400004</v>
      </c>
      <c r="L29" s="66" t="s">
        <v>142</v>
      </c>
    </row>
  </sheetData>
  <mergeCells count="7">
    <mergeCell ref="A23:A29"/>
    <mergeCell ref="H4:L4"/>
    <mergeCell ref="H5:L5"/>
    <mergeCell ref="A18:A19"/>
    <mergeCell ref="H21:L21"/>
    <mergeCell ref="H6:L6"/>
    <mergeCell ref="A2:A5"/>
  </mergeCells>
  <phoneticPr fontId="8" type="noConversion"/>
  <pageMargins left="0.7" right="0.7" top="0.75" bottom="0.75" header="0.3" footer="0.3"/>
  <pageSetup paperSize="9" orientation="portrait" horizontalDpi="1200" verticalDpi="1200" r:id="rId1"/>
  <picture r:id="rId2"/>
  <extLst>
    <ext xmlns:x14="http://schemas.microsoft.com/office/spreadsheetml/2009/9/main" uri="{B1990BBD-4E78-4000-9C21-AFDEE77D179B}">
      <x14:dataValidations xmlns:xm="http://schemas.microsoft.com/office/excel/2006/main" count="1">
        <x14:dataValidation type="list" allowBlank="true" errorStyle="stop" showErrorMessage="true" xr:uid="{C0A37340-2F17-4FA6-98F4-45E783BFDCD7}">
          <x14:formula1>
            <xm:f>ADCRANGE!$A$1:$A$2</xm:f>
          </x14:formula1>
          <xm:sqref>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workbookViewId="0"/>
  </sheetViews>
  <sheetFormatPr defaultRowHeight="15.75" x14ac:dyDescent="0.25"/>
  <cols>
    <col min="1" max="1" width="7.5" customWidth="1"/>
    <col min="2" max="2" width="13.5" customWidth="1"/>
    <col min="3" max="20" width="7.5" customWidth="1"/>
  </cols>
  <sheetData>
    <row r="1" spans="1:2" ht="13.15" customHeight="1" x14ac:dyDescent="0.2">
      <c r="A1" s="67">
        <v>0</v>
      </c>
      <c r="B1" s="67" t="s">
        <v>143</v>
      </c>
    </row>
    <row r="2" spans="1:2" ht="13.15" customHeight="1" x14ac:dyDescent="0.2">
      <c r="A2" s="67">
        <v>1</v>
      </c>
      <c r="B2" s="67" t="s">
        <v>144</v>
      </c>
    </row>
    <row r="3" spans="1:2" ht="13.15" customHeight="1" x14ac:dyDescent="0.25"/>
    <row r="4" spans="1:2" ht="13.15" customHeight="1" x14ac:dyDescent="0.25"/>
    <row r="5" spans="1:2" ht="13.15" customHeight="1" x14ac:dyDescent="0.25"/>
    <row r="6" spans="1:2" ht="13.15" customHeight="1" x14ac:dyDescent="0.25"/>
    <row r="7" spans="1:2" ht="13.15" customHeight="1" x14ac:dyDescent="0.25"/>
    <row r="8" spans="1:2" ht="13.15" customHeight="1" x14ac:dyDescent="0.25"/>
    <row r="9" spans="1:2" ht="13.15" customHeight="1" x14ac:dyDescent="0.25"/>
    <row r="10" spans="1:2" ht="13.15" customHeight="1" x14ac:dyDescent="0.25"/>
    <row r="11" spans="1:2" ht="13.15" customHeight="1" x14ac:dyDescent="0.25"/>
    <row r="12" spans="1:2" ht="13.15" customHeight="1" x14ac:dyDescent="0.25"/>
    <row r="13" spans="1:2" ht="13.15" customHeight="1" x14ac:dyDescent="0.25"/>
    <row r="14" spans="1:2" ht="13.15" customHeight="1" x14ac:dyDescent="0.25"/>
    <row r="15" spans="1:2" ht="13.15" customHeight="1" x14ac:dyDescent="0.25"/>
    <row r="16" spans="1:2" ht="13.15" customHeight="1" x14ac:dyDescent="0.25"/>
    <row r="17" ht="13.15" customHeight="1" x14ac:dyDescent="0.25"/>
    <row r="18" ht="13.15" customHeight="1" x14ac:dyDescent="0.25"/>
    <row r="19" ht="13.15" customHeight="1" x14ac:dyDescent="0.25"/>
    <row r="20" ht="13.15" customHeight="1" x14ac:dyDescent="0.25"/>
  </sheetData>
  <phoneticPr fontId="8" type="noConversion"/>
  <pageMargins left="0.7" right="0.7" top="0.75" bottom="0.75" header="0.3" footer="0.3"/>
  <picture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23"/>
  <sheetViews>
    <sheetView tabSelected="1" topLeftCell="C1" workbookViewId="0">
      <selection activeCell="J8" sqref="J8"/>
    </sheetView>
  </sheetViews>
  <sheetFormatPr defaultRowHeight="15.75" x14ac:dyDescent="0.25"/>
  <cols>
    <col min="1" max="1" width="2.25" customWidth="1"/>
    <col min="2" max="3" width="5" customWidth="1"/>
    <col min="4" max="4" width="13.75" customWidth="1"/>
    <col min="5" max="5" width="12.125" customWidth="1"/>
    <col min="7" max="7" width="38.875" customWidth="1"/>
    <col min="8" max="8" width="2.25" customWidth="1"/>
    <col min="9" max="10" width="5" customWidth="1"/>
    <col min="11" max="11" width="13.75" customWidth="1"/>
    <col min="12" max="12" width="12.125" customWidth="1"/>
    <col min="14" max="14" width="37.375" customWidth="1"/>
    <col min="15" max="15" width="2.25" customWidth="1"/>
    <col min="16" max="17" width="5" customWidth="1"/>
    <col min="18" max="18" width="13.75" customWidth="1"/>
    <col min="19" max="19" width="12.125" customWidth="1"/>
    <col min="21" max="21" width="37.375" customWidth="1"/>
    <col min="22" max="22" width="2.25" customWidth="1"/>
  </cols>
  <sheetData>
    <row r="1" spans="1:22" x14ac:dyDescent="0.25">
      <c r="A1" s="68"/>
      <c r="B1" s="102" t="s">
        <v>145</v>
      </c>
      <c r="C1" s="102"/>
      <c r="D1" s="102"/>
      <c r="E1" s="102"/>
      <c r="F1" s="102"/>
      <c r="G1" s="102"/>
      <c r="H1" s="101"/>
      <c r="I1" s="102" t="s">
        <v>146</v>
      </c>
      <c r="J1" s="102"/>
      <c r="K1" s="102"/>
      <c r="L1" s="102"/>
      <c r="M1" s="102"/>
      <c r="N1" s="102"/>
      <c r="O1" s="103"/>
      <c r="P1" s="102" t="s">
        <v>147</v>
      </c>
      <c r="Q1" s="102"/>
      <c r="R1" s="102"/>
      <c r="S1" s="102"/>
      <c r="T1" s="102"/>
      <c r="U1" s="102"/>
      <c r="V1" s="100"/>
    </row>
    <row r="2" spans="1:22" x14ac:dyDescent="0.25">
      <c r="A2" s="68"/>
      <c r="B2" s="70" t="s">
        <v>148</v>
      </c>
      <c r="C2" s="70" t="s">
        <v>149</v>
      </c>
      <c r="D2" s="70" t="s">
        <v>150</v>
      </c>
      <c r="E2" s="70" t="s">
        <v>151</v>
      </c>
      <c r="F2" s="70" t="s">
        <v>246</v>
      </c>
      <c r="G2" s="70" t="s">
        <v>153</v>
      </c>
      <c r="H2" s="101"/>
      <c r="I2" s="71" t="s">
        <v>148</v>
      </c>
      <c r="J2" s="70" t="s">
        <v>149</v>
      </c>
      <c r="K2" s="71" t="s">
        <v>150</v>
      </c>
      <c r="L2" s="71" t="s">
        <v>151</v>
      </c>
      <c r="M2" s="71" t="s">
        <v>246</v>
      </c>
      <c r="N2" s="71" t="s">
        <v>153</v>
      </c>
      <c r="O2" s="103"/>
      <c r="P2" s="71" t="s">
        <v>148</v>
      </c>
      <c r="Q2" s="70" t="s">
        <v>149</v>
      </c>
      <c r="R2" s="71" t="s">
        <v>150</v>
      </c>
      <c r="S2" s="71" t="s">
        <v>151</v>
      </c>
      <c r="T2" s="71" t="s">
        <v>152</v>
      </c>
      <c r="U2" s="71" t="s">
        <v>153</v>
      </c>
      <c r="V2" s="100"/>
    </row>
    <row r="3" spans="1:22" x14ac:dyDescent="0.25">
      <c r="A3" s="68"/>
      <c r="B3" s="72" t="s">
        <v>154</v>
      </c>
      <c r="C3" s="72" t="s">
        <v>155</v>
      </c>
      <c r="D3" s="69" t="s">
        <v>156</v>
      </c>
      <c r="E3" s="69" t="s">
        <v>157</v>
      </c>
      <c r="F3" s="69">
        <v>16</v>
      </c>
      <c r="G3" s="72" t="s">
        <v>158</v>
      </c>
      <c r="H3" s="101"/>
      <c r="I3" s="72" t="s">
        <v>154</v>
      </c>
      <c r="J3" s="72" t="s">
        <v>155</v>
      </c>
      <c r="K3" s="69" t="s">
        <v>156</v>
      </c>
      <c r="L3" s="69" t="s">
        <v>157</v>
      </c>
      <c r="M3" s="69">
        <v>16</v>
      </c>
      <c r="N3" s="72" t="s">
        <v>255</v>
      </c>
      <c r="O3" s="103"/>
      <c r="P3" s="73" t="s">
        <v>154</v>
      </c>
      <c r="Q3" s="73" t="s">
        <v>155</v>
      </c>
      <c r="R3" s="74" t="s">
        <v>156</v>
      </c>
      <c r="S3" s="74" t="s">
        <v>157</v>
      </c>
      <c r="T3" s="74">
        <v>16</v>
      </c>
      <c r="U3" s="73"/>
      <c r="V3" s="100"/>
    </row>
    <row r="4" spans="1:22" x14ac:dyDescent="0.25">
      <c r="A4" s="68"/>
      <c r="B4" s="72" t="s">
        <v>159</v>
      </c>
      <c r="C4" s="72" t="s">
        <v>155</v>
      </c>
      <c r="D4" s="69" t="s">
        <v>160</v>
      </c>
      <c r="E4" s="69" t="s">
        <v>161</v>
      </c>
      <c r="F4" s="69">
        <v>16</v>
      </c>
      <c r="G4" s="72" t="s">
        <v>158</v>
      </c>
      <c r="H4" s="101"/>
      <c r="I4" s="72" t="s">
        <v>159</v>
      </c>
      <c r="J4" s="72" t="s">
        <v>155</v>
      </c>
      <c r="K4" s="69" t="s">
        <v>160</v>
      </c>
      <c r="L4" s="69" t="s">
        <v>161</v>
      </c>
      <c r="M4" s="69">
        <v>16</v>
      </c>
      <c r="N4" s="72" t="s">
        <v>158</v>
      </c>
      <c r="O4" s="103"/>
      <c r="P4" s="73" t="s">
        <v>159</v>
      </c>
      <c r="Q4" s="75" t="s">
        <v>162</v>
      </c>
      <c r="R4" s="73" t="s">
        <v>163</v>
      </c>
      <c r="S4" s="73" t="s">
        <v>164</v>
      </c>
      <c r="T4" s="74">
        <v>16</v>
      </c>
      <c r="U4" s="73"/>
      <c r="V4" s="100"/>
    </row>
    <row r="5" spans="1:22" ht="38.25" x14ac:dyDescent="0.25">
      <c r="A5" s="68"/>
      <c r="B5" s="76" t="s">
        <v>165</v>
      </c>
      <c r="C5" s="76" t="s">
        <v>155</v>
      </c>
      <c r="D5" s="77" t="s">
        <v>166</v>
      </c>
      <c r="E5" s="77" t="s">
        <v>167</v>
      </c>
      <c r="F5" s="77">
        <v>16</v>
      </c>
      <c r="G5" s="120" t="s">
        <v>247</v>
      </c>
      <c r="H5" s="101"/>
      <c r="I5" s="76" t="s">
        <v>165</v>
      </c>
      <c r="J5" s="76" t="s">
        <v>155</v>
      </c>
      <c r="K5" s="77" t="s">
        <v>166</v>
      </c>
      <c r="L5" s="77" t="s">
        <v>167</v>
      </c>
      <c r="M5" s="77">
        <v>16</v>
      </c>
      <c r="N5" s="120" t="s">
        <v>248</v>
      </c>
      <c r="O5" s="103"/>
      <c r="P5" s="76" t="s">
        <v>165</v>
      </c>
      <c r="Q5" s="76" t="s">
        <v>162</v>
      </c>
      <c r="R5" s="76" t="s">
        <v>168</v>
      </c>
      <c r="S5" s="76" t="s">
        <v>169</v>
      </c>
      <c r="T5" s="77">
        <v>16</v>
      </c>
      <c r="U5" s="76"/>
      <c r="V5" s="100"/>
    </row>
    <row r="6" spans="1:22" x14ac:dyDescent="0.25">
      <c r="A6" s="68"/>
      <c r="B6" s="72" t="s">
        <v>170</v>
      </c>
      <c r="C6" s="72" t="s">
        <v>155</v>
      </c>
      <c r="D6" s="69" t="s">
        <v>171</v>
      </c>
      <c r="E6" s="69" t="s">
        <v>172</v>
      </c>
      <c r="F6" s="69">
        <v>16</v>
      </c>
      <c r="G6" s="69"/>
      <c r="H6" s="101"/>
      <c r="I6" s="78"/>
      <c r="J6" s="78"/>
      <c r="K6" s="78"/>
      <c r="L6" s="78"/>
      <c r="M6" s="78"/>
      <c r="N6" s="78"/>
      <c r="O6" s="103"/>
      <c r="P6" s="73" t="s">
        <v>170</v>
      </c>
      <c r="Q6" s="76" t="s">
        <v>162</v>
      </c>
      <c r="R6" s="76" t="s">
        <v>173</v>
      </c>
      <c r="S6" s="76" t="s">
        <v>174</v>
      </c>
      <c r="T6" s="77">
        <v>16</v>
      </c>
      <c r="U6" s="77"/>
      <c r="V6" s="100"/>
    </row>
    <row r="7" spans="1:22" ht="38.25" x14ac:dyDescent="0.25">
      <c r="A7" s="68"/>
      <c r="B7" s="76" t="s">
        <v>175</v>
      </c>
      <c r="C7" s="76" t="s">
        <v>162</v>
      </c>
      <c r="D7" s="77" t="s">
        <v>163</v>
      </c>
      <c r="E7" s="77" t="s">
        <v>164</v>
      </c>
      <c r="F7" s="77">
        <v>24</v>
      </c>
      <c r="G7" s="120" t="s">
        <v>249</v>
      </c>
      <c r="H7" s="101"/>
      <c r="I7" s="76" t="s">
        <v>175</v>
      </c>
      <c r="J7" s="76" t="s">
        <v>162</v>
      </c>
      <c r="K7" s="77" t="s">
        <v>163</v>
      </c>
      <c r="L7" s="77" t="s">
        <v>164</v>
      </c>
      <c r="M7" s="77">
        <v>16</v>
      </c>
      <c r="N7" s="120" t="s">
        <v>250</v>
      </c>
      <c r="O7" s="103"/>
      <c r="P7" s="76" t="s">
        <v>175</v>
      </c>
      <c r="Q7" s="76" t="s">
        <v>162</v>
      </c>
      <c r="R7" s="76" t="s">
        <v>176</v>
      </c>
      <c r="S7" s="76" t="s">
        <v>177</v>
      </c>
      <c r="T7" s="77">
        <v>16</v>
      </c>
      <c r="U7" s="76"/>
      <c r="V7" s="100"/>
    </row>
    <row r="8" spans="1:22" x14ac:dyDescent="0.25">
      <c r="A8" s="68"/>
      <c r="B8" s="76" t="s">
        <v>178</v>
      </c>
      <c r="C8" s="76" t="s">
        <v>162</v>
      </c>
      <c r="D8" s="77" t="s">
        <v>168</v>
      </c>
      <c r="E8" s="77" t="s">
        <v>169</v>
      </c>
      <c r="F8" s="77">
        <v>24</v>
      </c>
      <c r="G8" s="76" t="s">
        <v>179</v>
      </c>
      <c r="H8" s="101"/>
      <c r="I8" s="76" t="s">
        <v>178</v>
      </c>
      <c r="J8" s="76" t="s">
        <v>162</v>
      </c>
      <c r="K8" s="77" t="s">
        <v>168</v>
      </c>
      <c r="L8" s="77" t="s">
        <v>169</v>
      </c>
      <c r="M8" s="77">
        <v>16</v>
      </c>
      <c r="N8" s="76" t="s">
        <v>180</v>
      </c>
      <c r="O8" s="103"/>
      <c r="P8" s="76" t="s">
        <v>178</v>
      </c>
      <c r="Q8" s="76" t="s">
        <v>155</v>
      </c>
      <c r="R8" s="76" t="s">
        <v>181</v>
      </c>
      <c r="S8" s="76" t="s">
        <v>182</v>
      </c>
      <c r="T8" s="77">
        <v>16</v>
      </c>
      <c r="U8" s="76"/>
      <c r="V8" s="100"/>
    </row>
    <row r="9" spans="1:22" x14ac:dyDescent="0.25">
      <c r="A9" s="68"/>
      <c r="B9" s="76" t="s">
        <v>183</v>
      </c>
      <c r="C9" s="76" t="s">
        <v>162</v>
      </c>
      <c r="D9" s="77" t="s">
        <v>184</v>
      </c>
      <c r="E9" s="77" t="s">
        <v>185</v>
      </c>
      <c r="F9" s="77">
        <v>16</v>
      </c>
      <c r="G9" s="76" t="s">
        <v>186</v>
      </c>
      <c r="H9" s="101"/>
      <c r="I9" s="76" t="s">
        <v>183</v>
      </c>
      <c r="J9" s="76" t="s">
        <v>162</v>
      </c>
      <c r="K9" s="77" t="s">
        <v>184</v>
      </c>
      <c r="L9" s="77" t="s">
        <v>185</v>
      </c>
      <c r="M9" s="77">
        <v>16</v>
      </c>
      <c r="N9" s="76" t="s">
        <v>187</v>
      </c>
      <c r="O9" s="103"/>
      <c r="P9" s="76" t="s">
        <v>183</v>
      </c>
      <c r="Q9" s="76" t="s">
        <v>155</v>
      </c>
      <c r="R9" s="76" t="s">
        <v>188</v>
      </c>
      <c r="S9" s="76" t="s">
        <v>189</v>
      </c>
      <c r="T9" s="77">
        <v>16</v>
      </c>
      <c r="U9" s="76"/>
      <c r="V9" s="100"/>
    </row>
    <row r="10" spans="1:22" x14ac:dyDescent="0.25">
      <c r="A10" s="68"/>
      <c r="B10" s="76" t="s">
        <v>190</v>
      </c>
      <c r="C10" s="76" t="s">
        <v>162</v>
      </c>
      <c r="D10" s="77" t="s">
        <v>176</v>
      </c>
      <c r="E10" s="77" t="s">
        <v>177</v>
      </c>
      <c r="F10" s="77">
        <v>24</v>
      </c>
      <c r="G10" s="76" t="s">
        <v>191</v>
      </c>
      <c r="H10" s="101"/>
      <c r="I10" s="76" t="s">
        <v>190</v>
      </c>
      <c r="J10" s="76" t="s">
        <v>162</v>
      </c>
      <c r="K10" s="77" t="s">
        <v>176</v>
      </c>
      <c r="L10" s="77" t="s">
        <v>177</v>
      </c>
      <c r="M10" s="77">
        <v>16</v>
      </c>
      <c r="N10" s="76" t="s">
        <v>191</v>
      </c>
      <c r="O10" s="103"/>
      <c r="P10" s="76" t="s">
        <v>190</v>
      </c>
      <c r="Q10" s="76" t="s">
        <v>155</v>
      </c>
      <c r="R10" s="76" t="s">
        <v>192</v>
      </c>
      <c r="S10" s="76" t="s">
        <v>193</v>
      </c>
      <c r="T10" s="77">
        <v>16</v>
      </c>
      <c r="U10" s="76"/>
      <c r="V10" s="100"/>
    </row>
    <row r="11" spans="1:22" x14ac:dyDescent="0.25">
      <c r="A11" s="68"/>
      <c r="B11" s="76" t="s">
        <v>194</v>
      </c>
      <c r="C11" s="76" t="s">
        <v>162</v>
      </c>
      <c r="D11" s="77" t="s">
        <v>173</v>
      </c>
      <c r="E11" s="77" t="s">
        <v>174</v>
      </c>
      <c r="F11" s="77">
        <v>24</v>
      </c>
      <c r="G11" s="76" t="s">
        <v>195</v>
      </c>
      <c r="H11" s="101"/>
      <c r="I11" s="76" t="s">
        <v>194</v>
      </c>
      <c r="J11" s="76" t="s">
        <v>162</v>
      </c>
      <c r="K11" s="77" t="s">
        <v>173</v>
      </c>
      <c r="L11" s="77" t="s">
        <v>174</v>
      </c>
      <c r="M11" s="77">
        <v>24</v>
      </c>
      <c r="N11" s="76" t="s">
        <v>251</v>
      </c>
      <c r="O11" s="103"/>
      <c r="P11" s="76" t="s">
        <v>194</v>
      </c>
      <c r="Q11" s="76" t="s">
        <v>155</v>
      </c>
      <c r="R11" s="76" t="s">
        <v>196</v>
      </c>
      <c r="S11" s="76" t="s">
        <v>197</v>
      </c>
      <c r="T11" s="77">
        <v>16</v>
      </c>
      <c r="U11" s="76"/>
      <c r="V11" s="100"/>
    </row>
    <row r="12" spans="1:22" x14ac:dyDescent="0.25">
      <c r="A12" s="68"/>
      <c r="B12" s="72" t="s">
        <v>198</v>
      </c>
      <c r="C12" s="72" t="s">
        <v>162</v>
      </c>
      <c r="D12" s="69" t="s">
        <v>199</v>
      </c>
      <c r="E12" s="69" t="s">
        <v>200</v>
      </c>
      <c r="F12" s="69">
        <v>40</v>
      </c>
      <c r="G12" s="79" t="s">
        <v>252</v>
      </c>
      <c r="H12" s="101"/>
      <c r="I12" s="78"/>
      <c r="J12" s="78"/>
      <c r="K12" s="78"/>
      <c r="L12" s="78"/>
      <c r="M12" s="78"/>
      <c r="N12" s="78"/>
      <c r="O12" s="103"/>
      <c r="P12" s="73" t="s">
        <v>198</v>
      </c>
      <c r="Q12" s="76" t="s">
        <v>155</v>
      </c>
      <c r="R12" s="76" t="s">
        <v>201</v>
      </c>
      <c r="S12" s="76" t="s">
        <v>202</v>
      </c>
      <c r="T12" s="77">
        <v>16</v>
      </c>
      <c r="U12" s="77"/>
      <c r="V12" s="100"/>
    </row>
    <row r="13" spans="1:22" x14ac:dyDescent="0.25">
      <c r="A13" s="68"/>
      <c r="B13" s="72" t="s">
        <v>203</v>
      </c>
      <c r="C13" s="72" t="s">
        <v>162</v>
      </c>
      <c r="D13" s="69" t="s">
        <v>204</v>
      </c>
      <c r="E13" s="69" t="s">
        <v>205</v>
      </c>
      <c r="F13" s="69">
        <v>40</v>
      </c>
      <c r="G13" s="79" t="s">
        <v>206</v>
      </c>
      <c r="H13" s="101"/>
      <c r="I13" s="78"/>
      <c r="J13" s="78"/>
      <c r="K13" s="78"/>
      <c r="L13" s="78"/>
      <c r="M13" s="78"/>
      <c r="N13" s="78"/>
      <c r="O13" s="103"/>
      <c r="P13" s="78"/>
      <c r="Q13" s="80"/>
      <c r="R13" s="80"/>
      <c r="S13" s="80"/>
      <c r="T13" s="80"/>
      <c r="U13" s="80"/>
      <c r="V13" s="100"/>
    </row>
    <row r="14" spans="1:22" x14ac:dyDescent="0.25">
      <c r="A14" s="68"/>
      <c r="B14" s="72" t="s">
        <v>207</v>
      </c>
      <c r="C14" s="72" t="s">
        <v>155</v>
      </c>
      <c r="D14" s="69" t="s">
        <v>208</v>
      </c>
      <c r="E14" s="69" t="s">
        <v>209</v>
      </c>
      <c r="F14" s="69">
        <v>16</v>
      </c>
      <c r="G14" s="72" t="s">
        <v>158</v>
      </c>
      <c r="H14" s="101"/>
      <c r="I14" s="72" t="s">
        <v>207</v>
      </c>
      <c r="J14" s="72" t="s">
        <v>155</v>
      </c>
      <c r="K14" s="69" t="s">
        <v>208</v>
      </c>
      <c r="L14" s="69" t="s">
        <v>209</v>
      </c>
      <c r="M14" s="69">
        <v>16</v>
      </c>
      <c r="N14" s="72" t="s">
        <v>254</v>
      </c>
      <c r="O14" s="103"/>
      <c r="P14" s="80"/>
      <c r="Q14" s="80"/>
      <c r="R14" s="80"/>
      <c r="S14" s="80"/>
      <c r="T14" s="80"/>
      <c r="U14" s="80"/>
      <c r="V14" s="100"/>
    </row>
    <row r="15" spans="1:22" x14ac:dyDescent="0.25">
      <c r="A15" s="68"/>
      <c r="B15" s="72" t="s">
        <v>210</v>
      </c>
      <c r="C15" s="72" t="s">
        <v>155</v>
      </c>
      <c r="D15" s="69" t="s">
        <v>211</v>
      </c>
      <c r="E15" s="69" t="s">
        <v>212</v>
      </c>
      <c r="F15" s="69">
        <v>16</v>
      </c>
      <c r="G15" s="72" t="s">
        <v>158</v>
      </c>
      <c r="H15" s="101"/>
      <c r="I15" s="72" t="s">
        <v>210</v>
      </c>
      <c r="J15" s="72" t="s">
        <v>155</v>
      </c>
      <c r="K15" s="69" t="s">
        <v>211</v>
      </c>
      <c r="L15" s="69" t="s">
        <v>212</v>
      </c>
      <c r="M15" s="69">
        <v>16</v>
      </c>
      <c r="N15" s="72" t="s">
        <v>158</v>
      </c>
      <c r="O15" s="103"/>
      <c r="P15" s="80"/>
      <c r="Q15" s="80"/>
      <c r="R15" s="80"/>
      <c r="S15" s="80"/>
      <c r="T15" s="80"/>
      <c r="U15" s="80"/>
      <c r="V15" s="100"/>
    </row>
    <row r="16" spans="1:22" x14ac:dyDescent="0.25">
      <c r="A16" s="68"/>
      <c r="B16" s="72" t="s">
        <v>213</v>
      </c>
      <c r="C16" s="72" t="s">
        <v>155</v>
      </c>
      <c r="D16" s="69" t="s">
        <v>214</v>
      </c>
      <c r="E16" s="69" t="s">
        <v>215</v>
      </c>
      <c r="F16" s="69">
        <v>16</v>
      </c>
      <c r="G16" s="72" t="s">
        <v>158</v>
      </c>
      <c r="H16" s="101"/>
      <c r="I16" s="72" t="s">
        <v>213</v>
      </c>
      <c r="J16" s="72" t="s">
        <v>155</v>
      </c>
      <c r="K16" s="69" t="s">
        <v>214</v>
      </c>
      <c r="L16" s="69" t="s">
        <v>215</v>
      </c>
      <c r="M16" s="69">
        <v>16</v>
      </c>
      <c r="N16" s="72" t="s">
        <v>158</v>
      </c>
      <c r="O16" s="103"/>
      <c r="P16" s="80"/>
      <c r="Q16" s="80"/>
      <c r="R16" s="80"/>
      <c r="S16" s="80"/>
      <c r="T16" s="80"/>
      <c r="U16" s="80"/>
      <c r="V16" s="100"/>
    </row>
    <row r="17" spans="1:22" x14ac:dyDescent="0.25">
      <c r="A17" s="68"/>
      <c r="B17" s="72" t="s">
        <v>216</v>
      </c>
      <c r="C17" s="72" t="s">
        <v>155</v>
      </c>
      <c r="D17" s="69" t="s">
        <v>217</v>
      </c>
      <c r="E17" s="69" t="s">
        <v>218</v>
      </c>
      <c r="F17" s="69">
        <v>16</v>
      </c>
      <c r="G17" s="72" t="s">
        <v>158</v>
      </c>
      <c r="H17" s="101"/>
      <c r="I17" s="72" t="s">
        <v>216</v>
      </c>
      <c r="J17" s="72" t="s">
        <v>155</v>
      </c>
      <c r="K17" s="69" t="s">
        <v>217</v>
      </c>
      <c r="L17" s="69" t="s">
        <v>218</v>
      </c>
      <c r="M17" s="69">
        <v>16</v>
      </c>
      <c r="N17" s="72" t="s">
        <v>158</v>
      </c>
      <c r="O17" s="103"/>
      <c r="P17" s="80"/>
      <c r="Q17" s="80"/>
      <c r="R17" s="80"/>
      <c r="S17" s="80"/>
      <c r="T17" s="80"/>
      <c r="U17" s="80"/>
      <c r="V17" s="100"/>
    </row>
    <row r="18" spans="1:22" x14ac:dyDescent="0.25">
      <c r="A18" s="68"/>
      <c r="B18" s="72" t="s">
        <v>219</v>
      </c>
      <c r="C18" s="72" t="s">
        <v>155</v>
      </c>
      <c r="D18" s="69" t="s">
        <v>220</v>
      </c>
      <c r="E18" s="69" t="s">
        <v>221</v>
      </c>
      <c r="F18" s="69">
        <v>16</v>
      </c>
      <c r="G18" s="72" t="s">
        <v>158</v>
      </c>
      <c r="H18" s="101"/>
      <c r="I18" s="72" t="s">
        <v>219</v>
      </c>
      <c r="J18" s="72" t="s">
        <v>155</v>
      </c>
      <c r="K18" s="69" t="s">
        <v>220</v>
      </c>
      <c r="L18" s="69" t="s">
        <v>221</v>
      </c>
      <c r="M18" s="69">
        <v>16</v>
      </c>
      <c r="N18" s="72" t="s">
        <v>158</v>
      </c>
      <c r="O18" s="103"/>
      <c r="P18" s="80"/>
      <c r="Q18" s="80"/>
      <c r="R18" s="80"/>
      <c r="S18" s="80"/>
      <c r="T18" s="80"/>
      <c r="U18" s="80"/>
      <c r="V18" s="100"/>
    </row>
    <row r="19" spans="1:22" x14ac:dyDescent="0.25">
      <c r="A19" s="68"/>
      <c r="B19" s="77" t="s">
        <v>222</v>
      </c>
      <c r="C19" s="76" t="s">
        <v>155</v>
      </c>
      <c r="D19" s="77" t="s">
        <v>223</v>
      </c>
      <c r="E19" s="77" t="s">
        <v>224</v>
      </c>
      <c r="F19" s="77">
        <v>16</v>
      </c>
      <c r="G19" s="76" t="s">
        <v>225</v>
      </c>
      <c r="H19" s="101"/>
      <c r="I19" s="77" t="s">
        <v>222</v>
      </c>
      <c r="J19" s="76" t="s">
        <v>155</v>
      </c>
      <c r="K19" s="77" t="s">
        <v>223</v>
      </c>
      <c r="L19" s="77" t="s">
        <v>253</v>
      </c>
      <c r="M19" s="77">
        <v>16</v>
      </c>
      <c r="N19" s="76" t="s">
        <v>187</v>
      </c>
      <c r="O19" s="103"/>
      <c r="P19" s="80"/>
      <c r="Q19" s="80"/>
      <c r="R19" s="80"/>
      <c r="S19" s="80"/>
      <c r="T19" s="80"/>
      <c r="U19" s="80"/>
      <c r="V19" s="100"/>
    </row>
    <row r="20" spans="1:22" x14ac:dyDescent="0.25">
      <c r="A20" s="68"/>
      <c r="B20" s="69" t="s">
        <v>226</v>
      </c>
      <c r="C20" s="72" t="s">
        <v>155</v>
      </c>
      <c r="D20" s="69" t="s">
        <v>227</v>
      </c>
      <c r="E20" s="69" t="s">
        <v>228</v>
      </c>
      <c r="F20" s="69">
        <v>16</v>
      </c>
      <c r="G20" s="72" t="s">
        <v>158</v>
      </c>
      <c r="H20" s="101"/>
      <c r="I20" s="69" t="s">
        <v>226</v>
      </c>
      <c r="J20" s="72" t="s">
        <v>155</v>
      </c>
      <c r="K20" s="69" t="s">
        <v>227</v>
      </c>
      <c r="L20" s="69" t="s">
        <v>228</v>
      </c>
      <c r="M20" s="69">
        <v>16</v>
      </c>
      <c r="N20" s="72" t="s">
        <v>158</v>
      </c>
      <c r="O20" s="103"/>
      <c r="P20" s="80"/>
      <c r="Q20" s="80"/>
      <c r="R20" s="80"/>
      <c r="S20" s="80"/>
      <c r="T20" s="80"/>
      <c r="U20" s="80"/>
      <c r="V20" s="100"/>
    </row>
    <row r="21" spans="1:22" x14ac:dyDescent="0.25">
      <c r="A21" s="68"/>
      <c r="B21" s="69" t="s">
        <v>229</v>
      </c>
      <c r="C21" s="72" t="s">
        <v>162</v>
      </c>
      <c r="D21" s="72" t="s">
        <v>230</v>
      </c>
      <c r="E21" s="69" t="s">
        <v>231</v>
      </c>
      <c r="F21" s="69">
        <v>16</v>
      </c>
      <c r="G21" s="72" t="s">
        <v>232</v>
      </c>
      <c r="H21" s="101"/>
      <c r="I21" s="69" t="s">
        <v>229</v>
      </c>
      <c r="J21" s="72" t="s">
        <v>162</v>
      </c>
      <c r="K21" s="72" t="s">
        <v>230</v>
      </c>
      <c r="L21" s="69" t="s">
        <v>231</v>
      </c>
      <c r="M21" s="69">
        <v>16</v>
      </c>
      <c r="N21" s="72" t="s">
        <v>232</v>
      </c>
      <c r="O21" s="103"/>
      <c r="P21" s="73" t="s">
        <v>233</v>
      </c>
      <c r="Q21" s="73" t="s">
        <v>162</v>
      </c>
      <c r="R21" s="73" t="s">
        <v>230</v>
      </c>
      <c r="S21" s="74" t="s">
        <v>231</v>
      </c>
      <c r="T21" s="74">
        <v>16</v>
      </c>
      <c r="U21" s="73" t="s">
        <v>234</v>
      </c>
      <c r="V21" s="100"/>
    </row>
    <row r="22" spans="1:22" x14ac:dyDescent="0.25">
      <c r="A22" s="68"/>
      <c r="B22" s="77" t="s">
        <v>235</v>
      </c>
      <c r="C22" s="76" t="s">
        <v>162</v>
      </c>
      <c r="D22" s="77" t="s">
        <v>236</v>
      </c>
      <c r="E22" s="77" t="s">
        <v>237</v>
      </c>
      <c r="F22" s="77">
        <v>16</v>
      </c>
      <c r="G22" s="76" t="s">
        <v>238</v>
      </c>
      <c r="H22" s="101"/>
      <c r="I22" s="77" t="s">
        <v>235</v>
      </c>
      <c r="J22" s="76" t="s">
        <v>162</v>
      </c>
      <c r="K22" s="77" t="s">
        <v>236</v>
      </c>
      <c r="L22" s="77" t="s">
        <v>237</v>
      </c>
      <c r="M22" s="77">
        <v>16</v>
      </c>
      <c r="N22" s="76" t="s">
        <v>239</v>
      </c>
      <c r="O22" s="103"/>
      <c r="P22" s="76" t="s">
        <v>240</v>
      </c>
      <c r="Q22" s="76" t="s">
        <v>162</v>
      </c>
      <c r="R22" s="77" t="s">
        <v>236</v>
      </c>
      <c r="S22" s="77" t="s">
        <v>237</v>
      </c>
      <c r="T22" s="77">
        <v>16</v>
      </c>
      <c r="U22" s="76" t="s">
        <v>241</v>
      </c>
      <c r="V22" s="100"/>
    </row>
    <row r="23" spans="1:22" x14ac:dyDescent="0.25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</row>
  </sheetData>
  <mergeCells count="6">
    <mergeCell ref="V1:V22"/>
    <mergeCell ref="H1:H22"/>
    <mergeCell ref="B1:G1"/>
    <mergeCell ref="I1:N1"/>
    <mergeCell ref="O1:O22"/>
    <mergeCell ref="P1:U1"/>
  </mergeCells>
  <phoneticPr fontId="8" type="noConversion"/>
  <pageMargins left="0.7" right="0.7" top="0.75" bottom="0.75" header="0.3" footer="0.3"/>
  <pageSetup paperSize="9" orientation="portrait" horizontalDpi="1200" verticalDpi="120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INA226</vt:lpstr>
      <vt:lpstr>INA228</vt:lpstr>
      <vt:lpstr>ADCRANGE</vt:lpstr>
      <vt:lpstr>INA228&amp;INA238&amp;TPA6271寄存器比较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 T</dc:creator>
  <cp:lastModifiedBy>YB T</cp:lastModifiedBy>
  <dcterms:created xsi:type="dcterms:W3CDTF">2026-10-06T04:37:41Z</dcterms:created>
  <dcterms:modified xsi:type="dcterms:W3CDTF">2026-10-06T04:53:23Z</dcterms:modified>
</cp:coreProperties>
</file>